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xml" ContentType="application/vnd.openxmlformats-officedocument.themeOverrid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2.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3.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24.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5.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26.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7.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28.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9.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30.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3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32.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33.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34.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35.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36.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3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38.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39.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40.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41.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42.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43.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44.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45.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46.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47.xml" ContentType="application/vnd.openxmlformats-officedocument.drawing+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48.xml" ContentType="application/vnd.openxmlformats-officedocument.drawing+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49.xml" ContentType="application/vnd.openxmlformats-officedocument.drawing+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5200" windowHeight="11550" tabRatio="939" firstSheet="39" activeTab="52"/>
  </bookViews>
  <sheets>
    <sheet name="Lisez-moi" sheetId="30" r:id="rId1"/>
    <sheet name="Q2_Tab 1" sheetId="32" r:id="rId2"/>
    <sheet name="Q2_Tab 2" sheetId="31" r:id="rId3"/>
    <sheet name="Q2_Tab 3" sheetId="5" r:id="rId4"/>
    <sheet name="Q3_Tab 4" sheetId="6" r:id="rId5"/>
    <sheet name="Q4_Tab 5" sheetId="34" r:id="rId6"/>
    <sheet name="Q4_Tab 6" sheetId="33" r:id="rId7"/>
    <sheet name="Q4_Tab 7" sheetId="7" r:id="rId8"/>
    <sheet name="Q5_Tab 8" sheetId="36" r:id="rId9"/>
    <sheet name="Q5_Tab 9" sheetId="35" r:id="rId10"/>
    <sheet name="Q5_Tab 10" sheetId="8" r:id="rId11"/>
    <sheet name="Q6_Tab 11" sheetId="9" r:id="rId12"/>
    <sheet name="Q7_Tab 12" sheetId="40" r:id="rId13"/>
    <sheet name="Q7_Tab 13" sheetId="39" r:id="rId14"/>
    <sheet name="Q7_Tab 14" sheetId="11" r:id="rId15"/>
    <sheet name="Q8_Tab15" sheetId="61" r:id="rId16"/>
    <sheet name="Q8_Tab16" sheetId="62" r:id="rId17"/>
    <sheet name="Q8_Tab 17" sheetId="63" r:id="rId18"/>
    <sheet name="Q11_Tab 18" sheetId="42" r:id="rId19"/>
    <sheet name="Q11_Tab 19" sheetId="41" r:id="rId20"/>
    <sheet name="Q11_Tab 20" sheetId="12" r:id="rId21"/>
    <sheet name="Q12_Tab21" sheetId="67" r:id="rId22"/>
    <sheet name="Q12_Tab22" sheetId="66" r:id="rId23"/>
    <sheet name="Q12_Tab23" sheetId="65" r:id="rId24"/>
    <sheet name="Q15_Tab 24" sheetId="43" r:id="rId25"/>
    <sheet name="Q15_Tab 25-30" sheetId="13" r:id="rId26"/>
    <sheet name="Q15_Tab 31-36" sheetId="22" r:id="rId27"/>
    <sheet name="Q15_Tab 37" sheetId="25" r:id="rId28"/>
    <sheet name="Q15_Tab 38" sheetId="44" r:id="rId29"/>
    <sheet name="Q16_Tab 39" sheetId="69" r:id="rId30"/>
    <sheet name="Q16_Tab 40" sheetId="70" r:id="rId31"/>
    <sheet name="Q16_Tab 41" sheetId="68" r:id="rId32"/>
    <sheet name="Q17_Tab 42" sheetId="73" r:id="rId33"/>
    <sheet name="Q17_Tab 43" sheetId="72" r:id="rId34"/>
    <sheet name="Q17_Tab 44" sheetId="71" r:id="rId35"/>
    <sheet name="Q18_Tab 45" sheetId="16" r:id="rId36"/>
    <sheet name="Q18_Tab 46" sheetId="60" r:id="rId37"/>
    <sheet name="Q18_Tab 47" sheetId="59" r:id="rId38"/>
    <sheet name="Q19_Tab 48" sheetId="49" r:id="rId39"/>
    <sheet name="Q19_Tab 49" sheetId="48" r:id="rId40"/>
    <sheet name="Q19_Tab 50" sheetId="17" r:id="rId41"/>
    <sheet name="Q20_Tab 51" sheetId="50" r:id="rId42"/>
    <sheet name="Q20_Tab 52" sheetId="51" r:id="rId43"/>
    <sheet name="Q20_Tab 53" sheetId="18" r:id="rId44"/>
    <sheet name="Q21_Tab 54" sheetId="53" r:id="rId45"/>
    <sheet name="Q21_Tab 55" sheetId="52" r:id="rId46"/>
    <sheet name="Q21_Tab 56" sheetId="19" r:id="rId47"/>
    <sheet name="Q22_Tab 57" sheetId="54" r:id="rId48"/>
    <sheet name="Q22_Tab 58" sheetId="55" r:id="rId49"/>
    <sheet name="Q22_Tab 59" sheetId="20" r:id="rId50"/>
    <sheet name="Q23_Tab 60" sheetId="56" r:id="rId51"/>
    <sheet name="Q23_Tab 61" sheetId="21" r:id="rId52"/>
    <sheet name="Q23_Tab 62" sheetId="57" r:id="rId53"/>
  </sheets>
  <externalReferences>
    <externalReference r:id="rId54"/>
    <externalReference r:id="rId5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59" l="1"/>
  <c r="F22" i="71" l="1"/>
  <c r="E22" i="71"/>
  <c r="D22" i="71"/>
  <c r="C22" i="71"/>
  <c r="B22" i="71"/>
  <c r="F21" i="71"/>
  <c r="E21" i="71"/>
  <c r="D21" i="71"/>
  <c r="C21" i="71"/>
  <c r="B21" i="71"/>
  <c r="F20" i="71"/>
  <c r="E20" i="71"/>
  <c r="D20" i="71"/>
  <c r="C20" i="71"/>
  <c r="B20" i="71"/>
  <c r="F19" i="71"/>
  <c r="E19" i="71"/>
  <c r="D19" i="71"/>
  <c r="C19" i="71"/>
  <c r="B19" i="71"/>
  <c r="F18" i="71"/>
  <c r="E18" i="71"/>
  <c r="D18" i="71"/>
  <c r="C18" i="71"/>
  <c r="B18" i="71"/>
  <c r="F17" i="71"/>
  <c r="E17" i="71"/>
  <c r="D17" i="71"/>
  <c r="C17" i="71"/>
  <c r="B17" i="71"/>
  <c r="F16" i="71"/>
  <c r="E16" i="71"/>
  <c r="D16" i="71"/>
  <c r="C16" i="71"/>
  <c r="B16" i="71"/>
  <c r="F15" i="71"/>
  <c r="E15" i="71"/>
  <c r="D15" i="71"/>
  <c r="C15" i="71"/>
  <c r="B15" i="71"/>
  <c r="F14" i="71"/>
  <c r="E14" i="71"/>
  <c r="D14" i="71"/>
  <c r="C14" i="71"/>
  <c r="B14" i="71"/>
  <c r="F13" i="71"/>
  <c r="E13" i="71"/>
  <c r="D13" i="71"/>
  <c r="C13" i="71"/>
  <c r="B13" i="71"/>
  <c r="F12" i="71"/>
  <c r="E12" i="71"/>
  <c r="D12" i="71"/>
  <c r="C12" i="71"/>
  <c r="B12" i="71"/>
  <c r="F11" i="71"/>
  <c r="E11" i="71"/>
  <c r="D11" i="71"/>
  <c r="C11" i="71"/>
  <c r="B11" i="71"/>
  <c r="F10" i="71"/>
  <c r="E10" i="71"/>
  <c r="D10" i="71"/>
  <c r="C10" i="71"/>
  <c r="B10" i="71"/>
  <c r="F9" i="71"/>
  <c r="E9" i="71"/>
  <c r="D9" i="71"/>
  <c r="C9" i="71"/>
  <c r="B9" i="71"/>
  <c r="F8" i="71"/>
  <c r="E8" i="71"/>
  <c r="D8" i="71"/>
  <c r="C8" i="71"/>
  <c r="B8" i="71"/>
  <c r="F7" i="71"/>
  <c r="E7" i="71"/>
  <c r="D7" i="71"/>
  <c r="C7" i="71"/>
  <c r="B7" i="71"/>
  <c r="F6" i="71"/>
  <c r="E6" i="71"/>
  <c r="D6" i="71"/>
  <c r="C6" i="71"/>
  <c r="B6" i="71"/>
  <c r="H10" i="72"/>
  <c r="G10" i="72"/>
  <c r="F10" i="72"/>
  <c r="E10" i="72"/>
  <c r="D10" i="72"/>
  <c r="C10" i="72"/>
  <c r="B10" i="72"/>
  <c r="H9" i="72"/>
  <c r="G9" i="72"/>
  <c r="F9" i="72"/>
  <c r="E9" i="72"/>
  <c r="D9" i="72"/>
  <c r="C9" i="72"/>
  <c r="B9" i="72"/>
  <c r="H8" i="72"/>
  <c r="G8" i="72"/>
  <c r="F8" i="72"/>
  <c r="E8" i="72"/>
  <c r="D8" i="72"/>
  <c r="C8" i="72"/>
  <c r="B8" i="72"/>
  <c r="H7" i="72"/>
  <c r="G7" i="72"/>
  <c r="F7" i="72"/>
  <c r="E7" i="72"/>
  <c r="D7" i="72"/>
  <c r="C7" i="72"/>
  <c r="B7" i="72"/>
  <c r="H6" i="72"/>
  <c r="G6" i="72"/>
  <c r="F6" i="72"/>
  <c r="E6" i="72"/>
  <c r="D6" i="72"/>
  <c r="C6" i="72"/>
  <c r="B6" i="72"/>
  <c r="B9" i="73"/>
  <c r="B8" i="73"/>
  <c r="B7" i="73"/>
  <c r="B6" i="73"/>
  <c r="B5" i="73"/>
  <c r="I22" i="68"/>
  <c r="H22" i="68"/>
  <c r="G22" i="68"/>
  <c r="F22" i="68"/>
  <c r="E22" i="68"/>
  <c r="D22" i="68"/>
  <c r="C22" i="68"/>
  <c r="B22" i="68"/>
  <c r="I21" i="68"/>
  <c r="H21" i="68"/>
  <c r="G21" i="68"/>
  <c r="F21" i="68"/>
  <c r="E21" i="68"/>
  <c r="D21" i="68"/>
  <c r="C21" i="68"/>
  <c r="B21" i="68"/>
  <c r="I20" i="68"/>
  <c r="H20" i="68"/>
  <c r="G20" i="68"/>
  <c r="F20" i="68"/>
  <c r="E20" i="68"/>
  <c r="D20" i="68"/>
  <c r="C20" i="68"/>
  <c r="B20" i="68"/>
  <c r="I19" i="68"/>
  <c r="H19" i="68"/>
  <c r="G19" i="68"/>
  <c r="F19" i="68"/>
  <c r="E19" i="68"/>
  <c r="D19" i="68"/>
  <c r="C19" i="68"/>
  <c r="B19" i="68"/>
  <c r="I18" i="68"/>
  <c r="H18" i="68"/>
  <c r="G18" i="68"/>
  <c r="F18" i="68"/>
  <c r="E18" i="68"/>
  <c r="D18" i="68"/>
  <c r="C18" i="68"/>
  <c r="B18" i="68"/>
  <c r="I17" i="68"/>
  <c r="H17" i="68"/>
  <c r="G17" i="68"/>
  <c r="F17" i="68"/>
  <c r="E17" i="68"/>
  <c r="D17" i="68"/>
  <c r="C17" i="68"/>
  <c r="B17" i="68"/>
  <c r="I16" i="68"/>
  <c r="H16" i="68"/>
  <c r="G16" i="68"/>
  <c r="F16" i="68"/>
  <c r="E16" i="68"/>
  <c r="D16" i="68"/>
  <c r="C16" i="68"/>
  <c r="B16" i="68"/>
  <c r="I15" i="68"/>
  <c r="H15" i="68"/>
  <c r="G15" i="68"/>
  <c r="F15" i="68"/>
  <c r="E15" i="68"/>
  <c r="D15" i="68"/>
  <c r="C15" i="68"/>
  <c r="B15" i="68"/>
  <c r="I14" i="68"/>
  <c r="H14" i="68"/>
  <c r="G14" i="68"/>
  <c r="F14" i="68"/>
  <c r="E14" i="68"/>
  <c r="D14" i="68"/>
  <c r="C14" i="68"/>
  <c r="B14" i="68"/>
  <c r="I13" i="68"/>
  <c r="H13" i="68"/>
  <c r="G13" i="68"/>
  <c r="F13" i="68"/>
  <c r="E13" i="68"/>
  <c r="D13" i="68"/>
  <c r="C13" i="68"/>
  <c r="B13" i="68"/>
  <c r="I12" i="68"/>
  <c r="H12" i="68"/>
  <c r="G12" i="68"/>
  <c r="F12" i="68"/>
  <c r="E12" i="68"/>
  <c r="D12" i="68"/>
  <c r="C12" i="68"/>
  <c r="B12" i="68"/>
  <c r="I11" i="68"/>
  <c r="H11" i="68"/>
  <c r="G11" i="68"/>
  <c r="F11" i="68"/>
  <c r="E11" i="68"/>
  <c r="D11" i="68"/>
  <c r="C11" i="68"/>
  <c r="B11" i="68"/>
  <c r="I10" i="68"/>
  <c r="H10" i="68"/>
  <c r="G10" i="68"/>
  <c r="F10" i="68"/>
  <c r="E10" i="68"/>
  <c r="D10" i="68"/>
  <c r="C10" i="68"/>
  <c r="B10" i="68"/>
  <c r="I9" i="68"/>
  <c r="H9" i="68"/>
  <c r="G9" i="68"/>
  <c r="F9" i="68"/>
  <c r="E9" i="68"/>
  <c r="D9" i="68"/>
  <c r="C9" i="68"/>
  <c r="B9" i="68"/>
  <c r="I8" i="68"/>
  <c r="H8" i="68"/>
  <c r="G8" i="68"/>
  <c r="F8" i="68"/>
  <c r="E8" i="68"/>
  <c r="D8" i="68"/>
  <c r="C8" i="68"/>
  <c r="B8" i="68"/>
  <c r="I7" i="68"/>
  <c r="H7" i="68"/>
  <c r="G7" i="68"/>
  <c r="F7" i="68"/>
  <c r="E7" i="68"/>
  <c r="D7" i="68"/>
  <c r="C7" i="68"/>
  <c r="B7" i="68"/>
  <c r="I6" i="68"/>
  <c r="H6" i="68"/>
  <c r="G6" i="68"/>
  <c r="F6" i="68"/>
  <c r="E6" i="68"/>
  <c r="D6" i="68"/>
  <c r="C6" i="68"/>
  <c r="B6" i="68"/>
  <c r="H12" i="70"/>
  <c r="G12" i="70"/>
  <c r="F12" i="70"/>
  <c r="E12" i="70"/>
  <c r="D12" i="70"/>
  <c r="C12" i="70"/>
  <c r="B12" i="70"/>
  <c r="H11" i="70"/>
  <c r="G11" i="70"/>
  <c r="F11" i="70"/>
  <c r="E11" i="70"/>
  <c r="D11" i="70"/>
  <c r="C11" i="70"/>
  <c r="B11" i="70"/>
  <c r="H10" i="70"/>
  <c r="G10" i="70"/>
  <c r="F10" i="70"/>
  <c r="E10" i="70"/>
  <c r="D10" i="70"/>
  <c r="C10" i="70"/>
  <c r="B10" i="70"/>
  <c r="H9" i="70"/>
  <c r="G9" i="70"/>
  <c r="F9" i="70"/>
  <c r="E9" i="70"/>
  <c r="D9" i="70"/>
  <c r="C9" i="70"/>
  <c r="B9" i="70"/>
  <c r="H8" i="70"/>
  <c r="G8" i="70"/>
  <c r="F8" i="70"/>
  <c r="E8" i="70"/>
  <c r="D8" i="70"/>
  <c r="C8" i="70"/>
  <c r="B8" i="70"/>
  <c r="H7" i="70"/>
  <c r="G7" i="70"/>
  <c r="F7" i="70"/>
  <c r="E7" i="70"/>
  <c r="D7" i="70"/>
  <c r="C7" i="70"/>
  <c r="B7" i="70"/>
  <c r="H6" i="70"/>
  <c r="G6" i="70"/>
  <c r="F6" i="70"/>
  <c r="E6" i="70"/>
  <c r="D6" i="70"/>
  <c r="C6" i="70"/>
  <c r="B6" i="70"/>
  <c r="H5" i="70"/>
  <c r="G5" i="70"/>
  <c r="F5" i="70"/>
  <c r="E5" i="70"/>
  <c r="D5" i="70"/>
  <c r="C5" i="70"/>
  <c r="B5" i="70"/>
  <c r="B5" i="69"/>
  <c r="B9" i="69"/>
  <c r="B7" i="69"/>
  <c r="B12" i="69"/>
  <c r="B10" i="69"/>
  <c r="B11" i="69"/>
  <c r="B8" i="69"/>
  <c r="B6" i="69"/>
  <c r="G125" i="22"/>
  <c r="F125" i="22"/>
  <c r="E125" i="22"/>
  <c r="D125" i="22"/>
  <c r="C125" i="22"/>
  <c r="B125" i="22"/>
  <c r="G124" i="22"/>
  <c r="F124" i="22"/>
  <c r="E124" i="22"/>
  <c r="D124" i="22"/>
  <c r="C124" i="22"/>
  <c r="B124" i="22"/>
  <c r="G123" i="22"/>
  <c r="F123" i="22"/>
  <c r="E123" i="22"/>
  <c r="D123" i="22"/>
  <c r="C123" i="22"/>
  <c r="B123" i="22"/>
  <c r="G122" i="22"/>
  <c r="F122" i="22"/>
  <c r="E122" i="22"/>
  <c r="D122" i="22"/>
  <c r="C122" i="22"/>
  <c r="B122" i="22"/>
  <c r="G121" i="22"/>
  <c r="F121" i="22"/>
  <c r="E121" i="22"/>
  <c r="D121" i="22"/>
  <c r="C121" i="22"/>
  <c r="B121" i="22"/>
  <c r="G120" i="22"/>
  <c r="F120" i="22"/>
  <c r="E120" i="22"/>
  <c r="D120" i="22"/>
  <c r="C120" i="22"/>
  <c r="B120" i="22"/>
  <c r="G119" i="22"/>
  <c r="F119" i="22"/>
  <c r="E119" i="22"/>
  <c r="D119" i="22"/>
  <c r="C119" i="22"/>
  <c r="B119" i="22"/>
  <c r="G118" i="22"/>
  <c r="F118" i="22"/>
  <c r="E118" i="22"/>
  <c r="D118" i="22"/>
  <c r="C118" i="22"/>
  <c r="B118" i="22"/>
  <c r="G117" i="22"/>
  <c r="F117" i="22"/>
  <c r="E117" i="22"/>
  <c r="D117" i="22"/>
  <c r="C117" i="22"/>
  <c r="B117" i="22"/>
  <c r="G116" i="22"/>
  <c r="F116" i="22"/>
  <c r="E116" i="22"/>
  <c r="D116" i="22"/>
  <c r="C116" i="22"/>
  <c r="B116" i="22"/>
  <c r="G115" i="22"/>
  <c r="F115" i="22"/>
  <c r="E115" i="22"/>
  <c r="D115" i="22"/>
  <c r="C115" i="22"/>
  <c r="B115" i="22"/>
  <c r="G114" i="22"/>
  <c r="F114" i="22"/>
  <c r="E114" i="22"/>
  <c r="D114" i="22"/>
  <c r="C114" i="22"/>
  <c r="B114" i="22"/>
  <c r="G113" i="22"/>
  <c r="F113" i="22"/>
  <c r="E113" i="22"/>
  <c r="D113" i="22"/>
  <c r="C113" i="22"/>
  <c r="B113" i="22"/>
  <c r="G112" i="22"/>
  <c r="F112" i="22"/>
  <c r="E112" i="22"/>
  <c r="D112" i="22"/>
  <c r="C112" i="22"/>
  <c r="B112" i="22"/>
  <c r="G111" i="22"/>
  <c r="F111" i="22"/>
  <c r="E111" i="22"/>
  <c r="D111" i="22"/>
  <c r="C111" i="22"/>
  <c r="B111" i="22"/>
  <c r="G110" i="22"/>
  <c r="F110" i="22"/>
  <c r="E110" i="22"/>
  <c r="D110" i="22"/>
  <c r="C110" i="22"/>
  <c r="B110" i="22"/>
  <c r="G109" i="22"/>
  <c r="F109" i="22"/>
  <c r="E109" i="22"/>
  <c r="D109" i="22"/>
  <c r="C109" i="22"/>
  <c r="B109" i="22"/>
  <c r="F22" i="65"/>
  <c r="E22" i="65"/>
  <c r="D22" i="65"/>
  <c r="C22" i="65"/>
  <c r="B22" i="65"/>
  <c r="F21" i="65"/>
  <c r="E21" i="65"/>
  <c r="D21" i="65"/>
  <c r="C21" i="65"/>
  <c r="B21" i="65"/>
  <c r="F20" i="65"/>
  <c r="E20" i="65"/>
  <c r="D20" i="65"/>
  <c r="C20" i="65"/>
  <c r="B20" i="65"/>
  <c r="F19" i="65"/>
  <c r="E19" i="65"/>
  <c r="D19" i="65"/>
  <c r="C19" i="65"/>
  <c r="B19" i="65"/>
  <c r="F18" i="65"/>
  <c r="E18" i="65"/>
  <c r="D18" i="65"/>
  <c r="C18" i="65"/>
  <c r="B18" i="65"/>
  <c r="F17" i="65"/>
  <c r="E17" i="65"/>
  <c r="D17" i="65"/>
  <c r="C17" i="65"/>
  <c r="B17" i="65"/>
  <c r="F16" i="65"/>
  <c r="E16" i="65"/>
  <c r="D16" i="65"/>
  <c r="C16" i="65"/>
  <c r="B16" i="65"/>
  <c r="F15" i="65"/>
  <c r="E15" i="65"/>
  <c r="D15" i="65"/>
  <c r="C15" i="65"/>
  <c r="B15" i="65"/>
  <c r="F14" i="65"/>
  <c r="E14" i="65"/>
  <c r="D14" i="65"/>
  <c r="C14" i="65"/>
  <c r="B14" i="65"/>
  <c r="F13" i="65"/>
  <c r="E13" i="65"/>
  <c r="D13" i="65"/>
  <c r="C13" i="65"/>
  <c r="B13" i="65"/>
  <c r="F12" i="65"/>
  <c r="E12" i="65"/>
  <c r="D12" i="65"/>
  <c r="C12" i="65"/>
  <c r="B12" i="65"/>
  <c r="F11" i="65"/>
  <c r="E11" i="65"/>
  <c r="D11" i="65"/>
  <c r="C11" i="65"/>
  <c r="B11" i="65"/>
  <c r="F10" i="65"/>
  <c r="E10" i="65"/>
  <c r="D10" i="65"/>
  <c r="C10" i="65"/>
  <c r="B10" i="65"/>
  <c r="F9" i="65"/>
  <c r="E9" i="65"/>
  <c r="D9" i="65"/>
  <c r="C9" i="65"/>
  <c r="B9" i="65"/>
  <c r="F8" i="65"/>
  <c r="E8" i="65"/>
  <c r="D8" i="65"/>
  <c r="C8" i="65"/>
  <c r="B8" i="65"/>
  <c r="F7" i="65"/>
  <c r="E7" i="65"/>
  <c r="D7" i="65"/>
  <c r="C7" i="65"/>
  <c r="B7" i="65"/>
  <c r="F6" i="65"/>
  <c r="E6" i="65"/>
  <c r="D6" i="65"/>
  <c r="C6" i="65"/>
  <c r="B6" i="65"/>
  <c r="H9" i="66"/>
  <c r="G9" i="66"/>
  <c r="F9" i="66"/>
  <c r="E9" i="66"/>
  <c r="D9" i="66"/>
  <c r="C9" i="66"/>
  <c r="B9" i="66"/>
  <c r="H8" i="66"/>
  <c r="G8" i="66"/>
  <c r="F8" i="66"/>
  <c r="E8" i="66"/>
  <c r="D8" i="66"/>
  <c r="C8" i="66"/>
  <c r="B8" i="66"/>
  <c r="H7" i="66"/>
  <c r="G7" i="66"/>
  <c r="F7" i="66"/>
  <c r="E7" i="66"/>
  <c r="D7" i="66"/>
  <c r="C7" i="66"/>
  <c r="B7" i="66"/>
  <c r="H6" i="66"/>
  <c r="G6" i="66"/>
  <c r="F6" i="66"/>
  <c r="E6" i="66"/>
  <c r="D6" i="66"/>
  <c r="C6" i="66"/>
  <c r="B6" i="66"/>
  <c r="H5" i="66"/>
  <c r="G5" i="66"/>
  <c r="F5" i="66"/>
  <c r="E5" i="66"/>
  <c r="D5" i="66"/>
  <c r="C5" i="66"/>
  <c r="B5" i="66"/>
  <c r="B9" i="67"/>
  <c r="B8" i="67"/>
  <c r="B7" i="67"/>
  <c r="B6" i="67"/>
  <c r="B5" i="67"/>
  <c r="F22" i="12"/>
  <c r="E22" i="12"/>
  <c r="D22" i="12"/>
  <c r="C22" i="12"/>
  <c r="B22" i="12"/>
  <c r="F21" i="12"/>
  <c r="E21" i="12"/>
  <c r="D21" i="12"/>
  <c r="C21" i="12"/>
  <c r="B21" i="12"/>
  <c r="F20" i="12"/>
  <c r="E20" i="12"/>
  <c r="D20" i="12"/>
  <c r="C20" i="12"/>
  <c r="B20" i="12"/>
  <c r="E19" i="12"/>
  <c r="D19" i="12"/>
  <c r="C19" i="12"/>
  <c r="B19" i="12"/>
  <c r="F18" i="12"/>
  <c r="E18" i="12"/>
  <c r="D18" i="12"/>
  <c r="C18" i="12"/>
  <c r="B18" i="12"/>
  <c r="F17" i="12"/>
  <c r="E17" i="12"/>
  <c r="D17" i="12"/>
  <c r="C17" i="12"/>
  <c r="B17" i="12"/>
  <c r="F16" i="12"/>
  <c r="E16" i="12"/>
  <c r="D16" i="12"/>
  <c r="C16" i="12"/>
  <c r="B16" i="12"/>
  <c r="F15" i="12"/>
  <c r="E15" i="12"/>
  <c r="D15" i="12"/>
  <c r="C15" i="12"/>
  <c r="B15" i="12"/>
  <c r="F14" i="12"/>
  <c r="E14" i="12"/>
  <c r="D14" i="12"/>
  <c r="C14" i="12"/>
  <c r="B14" i="12"/>
  <c r="F13" i="12"/>
  <c r="E13" i="12"/>
  <c r="D13" i="12"/>
  <c r="C13" i="12"/>
  <c r="B13" i="12"/>
  <c r="F12" i="12"/>
  <c r="E12" i="12"/>
  <c r="D12" i="12"/>
  <c r="C12" i="12"/>
  <c r="B12" i="12"/>
  <c r="F11" i="12"/>
  <c r="E11" i="12"/>
  <c r="D11" i="12"/>
  <c r="C11" i="12"/>
  <c r="B11" i="12"/>
  <c r="F10" i="12"/>
  <c r="E10" i="12"/>
  <c r="D10" i="12"/>
  <c r="C10" i="12"/>
  <c r="B10" i="12"/>
  <c r="F9" i="12"/>
  <c r="E9" i="12"/>
  <c r="D9" i="12"/>
  <c r="C9" i="12"/>
  <c r="B9" i="12"/>
  <c r="F8" i="12"/>
  <c r="E8" i="12"/>
  <c r="D8" i="12"/>
  <c r="C8" i="12"/>
  <c r="B8" i="12"/>
  <c r="F7" i="12"/>
  <c r="E7" i="12"/>
  <c r="D7" i="12"/>
  <c r="C7" i="12"/>
  <c r="B7" i="12"/>
  <c r="F6" i="12"/>
  <c r="E6" i="12"/>
  <c r="D6" i="12"/>
  <c r="C6" i="12"/>
  <c r="B6" i="12"/>
  <c r="H9" i="41"/>
  <c r="G9" i="41"/>
  <c r="F9" i="41"/>
  <c r="E9" i="41"/>
  <c r="D9" i="41"/>
  <c r="C9" i="41"/>
  <c r="B9" i="41"/>
  <c r="H8" i="41"/>
  <c r="G8" i="41"/>
  <c r="F8" i="41"/>
  <c r="E8" i="41"/>
  <c r="D8" i="41"/>
  <c r="C8" i="41"/>
  <c r="B8" i="41"/>
  <c r="H7" i="41"/>
  <c r="G7" i="41"/>
  <c r="F7" i="41"/>
  <c r="E7" i="41"/>
  <c r="D7" i="41"/>
  <c r="C7" i="41"/>
  <c r="B7" i="41"/>
  <c r="H6" i="41"/>
  <c r="G6" i="41"/>
  <c r="F6" i="41"/>
  <c r="E6" i="41"/>
  <c r="D6" i="41"/>
  <c r="C6" i="41"/>
  <c r="B6" i="41"/>
  <c r="H5" i="41"/>
  <c r="G5" i="41"/>
  <c r="F5" i="41"/>
  <c r="E5" i="41"/>
  <c r="D5" i="41"/>
  <c r="C5" i="41"/>
  <c r="B5" i="41"/>
  <c r="B8" i="42"/>
  <c r="B7" i="42"/>
  <c r="B6" i="42"/>
  <c r="B5" i="42"/>
  <c r="B4" i="42"/>
  <c r="C21" i="63"/>
  <c r="B21" i="63"/>
  <c r="C20" i="63"/>
  <c r="B20" i="63"/>
  <c r="C19" i="63"/>
  <c r="B19" i="63"/>
  <c r="C18" i="63"/>
  <c r="B18" i="63"/>
  <c r="C17" i="63"/>
  <c r="B17" i="63"/>
  <c r="C16" i="63"/>
  <c r="B16" i="63"/>
  <c r="C15" i="63"/>
  <c r="B15" i="63"/>
  <c r="C14" i="63"/>
  <c r="B14" i="63"/>
  <c r="C13" i="63"/>
  <c r="B13" i="63"/>
  <c r="C12" i="63"/>
  <c r="B12" i="63"/>
  <c r="C11" i="63"/>
  <c r="B11" i="63"/>
  <c r="C10" i="63"/>
  <c r="B10" i="63"/>
  <c r="C9" i="63"/>
  <c r="B9" i="63"/>
  <c r="C7" i="63"/>
  <c r="B7" i="63"/>
  <c r="C6" i="63"/>
  <c r="B6" i="63"/>
  <c r="C5" i="63"/>
  <c r="B5" i="63"/>
  <c r="H6" i="62"/>
  <c r="G6" i="62"/>
  <c r="F6" i="62"/>
  <c r="E6" i="62"/>
  <c r="D6" i="62"/>
  <c r="C6" i="62"/>
  <c r="B6" i="62"/>
  <c r="H5" i="62"/>
  <c r="G5" i="62"/>
  <c r="F5" i="62"/>
  <c r="E5" i="62"/>
  <c r="D5" i="62"/>
  <c r="C5" i="62"/>
  <c r="B5" i="62"/>
  <c r="B5" i="61"/>
  <c r="B4" i="61"/>
  <c r="B5" i="40"/>
  <c r="B4" i="40"/>
  <c r="H7" i="35"/>
  <c r="G7" i="35"/>
  <c r="F7" i="35"/>
  <c r="E7" i="35"/>
  <c r="D7" i="35"/>
  <c r="C7" i="35"/>
  <c r="B7" i="35"/>
  <c r="H6" i="35"/>
  <c r="G6" i="35"/>
  <c r="F6" i="35"/>
  <c r="E6" i="35"/>
  <c r="D6" i="35"/>
  <c r="C6" i="35"/>
  <c r="B6" i="35"/>
  <c r="H5" i="35"/>
  <c r="G5" i="35"/>
  <c r="F5" i="35"/>
  <c r="E5" i="35"/>
  <c r="D5" i="35"/>
  <c r="C5" i="35"/>
  <c r="B5" i="35"/>
  <c r="B6" i="36"/>
  <c r="B5" i="36"/>
  <c r="B4" i="36"/>
  <c r="B7" i="6"/>
  <c r="B6" i="6"/>
  <c r="B5" i="6"/>
  <c r="B4" i="6"/>
  <c r="F21" i="5"/>
  <c r="E21" i="5"/>
  <c r="D21" i="5"/>
  <c r="C21" i="5"/>
  <c r="B21" i="5"/>
  <c r="F20" i="5"/>
  <c r="E20" i="5"/>
  <c r="D20" i="5"/>
  <c r="C20" i="5"/>
  <c r="B20" i="5"/>
  <c r="F19" i="5"/>
  <c r="E19" i="5"/>
  <c r="D19" i="5"/>
  <c r="C19" i="5"/>
  <c r="B19" i="5"/>
  <c r="F18" i="5"/>
  <c r="E18" i="5"/>
  <c r="D18" i="5"/>
  <c r="B18" i="5"/>
  <c r="F17" i="5"/>
  <c r="E17" i="5"/>
  <c r="D17" i="5"/>
  <c r="C17" i="5"/>
  <c r="B17" i="5"/>
  <c r="F16" i="5"/>
  <c r="E16" i="5"/>
  <c r="D16" i="5"/>
  <c r="C16" i="5"/>
  <c r="B16" i="5"/>
  <c r="F15" i="5"/>
  <c r="E15" i="5"/>
  <c r="D15" i="5"/>
  <c r="C15" i="5"/>
  <c r="B15" i="5"/>
  <c r="F14" i="5"/>
  <c r="E14" i="5"/>
  <c r="D14" i="5"/>
  <c r="C14" i="5"/>
  <c r="B14" i="5"/>
  <c r="F13" i="5"/>
  <c r="E13" i="5"/>
  <c r="D13" i="5"/>
  <c r="C13" i="5"/>
  <c r="B13" i="5"/>
  <c r="F12" i="5"/>
  <c r="E12" i="5"/>
  <c r="D12" i="5"/>
  <c r="C12" i="5"/>
  <c r="B12" i="5"/>
  <c r="F11" i="5"/>
  <c r="E11" i="5"/>
  <c r="D11" i="5"/>
  <c r="C11" i="5"/>
  <c r="B11" i="5"/>
  <c r="E10" i="5"/>
  <c r="D10" i="5"/>
  <c r="C10" i="5"/>
  <c r="B10" i="5"/>
  <c r="E9" i="5"/>
  <c r="D9" i="5"/>
  <c r="C9" i="5"/>
  <c r="B9" i="5"/>
  <c r="F8" i="5"/>
  <c r="E8" i="5"/>
  <c r="D8" i="5"/>
  <c r="C8" i="5"/>
  <c r="B8" i="5"/>
  <c r="F7" i="5"/>
  <c r="E7" i="5"/>
  <c r="D7" i="5"/>
  <c r="C7" i="5"/>
  <c r="B7" i="5"/>
  <c r="F6" i="5"/>
  <c r="E6" i="5"/>
  <c r="D6" i="5"/>
  <c r="B6" i="5"/>
  <c r="F5" i="5"/>
  <c r="E5" i="5"/>
  <c r="D5" i="5"/>
  <c r="C5" i="5"/>
  <c r="B5" i="5"/>
  <c r="G8" i="5" l="1"/>
  <c r="G18" i="5"/>
  <c r="G6" i="5"/>
  <c r="G19" i="65"/>
  <c r="G7" i="65"/>
  <c r="H9" i="31"/>
  <c r="G9" i="31"/>
  <c r="F9" i="31"/>
  <c r="E9" i="31"/>
  <c r="D9" i="31"/>
  <c r="C9" i="31"/>
  <c r="B9" i="31"/>
  <c r="H8" i="31"/>
  <c r="G8" i="31"/>
  <c r="F8" i="31"/>
  <c r="E8" i="31"/>
  <c r="D8" i="31"/>
  <c r="C8" i="31"/>
  <c r="B8" i="31"/>
  <c r="H7" i="31"/>
  <c r="G7" i="31"/>
  <c r="F7" i="31"/>
  <c r="E7" i="31"/>
  <c r="D7" i="31"/>
  <c r="C7" i="31"/>
  <c r="B7" i="31"/>
  <c r="H6" i="31"/>
  <c r="G6" i="31"/>
  <c r="F6" i="31"/>
  <c r="E6" i="31"/>
  <c r="D6" i="31"/>
  <c r="C6" i="31"/>
  <c r="B6" i="31"/>
  <c r="H5" i="31"/>
  <c r="G5" i="31"/>
  <c r="F5" i="31"/>
  <c r="E5" i="31"/>
  <c r="D5" i="31"/>
  <c r="C5" i="31"/>
  <c r="B5" i="31"/>
  <c r="B8" i="32"/>
  <c r="B7" i="32"/>
  <c r="B6" i="32"/>
  <c r="B5" i="32"/>
  <c r="B4" i="32"/>
</calcChain>
</file>

<file path=xl/sharedStrings.xml><?xml version="1.0" encoding="utf-8"?>
<sst xmlns="http://schemas.openxmlformats.org/spreadsheetml/2006/main" count="1354" uniqueCount="251">
  <si>
    <t>Ensemble</t>
  </si>
  <si>
    <t>Elle a été arrêtée</t>
  </si>
  <si>
    <t>Elle a diminué très fortement (de 50 % ou plus)</t>
  </si>
  <si>
    <t>Elle a diminué fortement (de moins de 50 %)</t>
  </si>
  <si>
    <t>Elle est restée inchangée</t>
  </si>
  <si>
    <t>Elle a augmenté</t>
  </si>
  <si>
    <t>Champ  : salariés du privé hors agriculture, particuliers employeurs et activités extraterritoriales ; France (hors Mayotte).</t>
  </si>
  <si>
    <t>Champ : salariés du privé hors agriculture, particuliers employeurs et activités extraterritoriales ; France (hors Mayotte).</t>
  </si>
  <si>
    <t>10 - 19</t>
  </si>
  <si>
    <t>20 - 49</t>
  </si>
  <si>
    <t>50 - 99</t>
  </si>
  <si>
    <t>100 - 249</t>
  </si>
  <si>
    <t>250 - 499</t>
  </si>
  <si>
    <t>500 et +</t>
  </si>
  <si>
    <t>Elle a diminué très fortement
 (de 50 % ou plus)</t>
  </si>
  <si>
    <t>Elle a diminué fortement
 (de moins de 50 %)</t>
  </si>
  <si>
    <t>C1 - Fabrication de denrées alimentaires, de boissons et  de produits a base de tabac</t>
  </si>
  <si>
    <t>C2 - Cokéfaction et raffinage</t>
  </si>
  <si>
    <t>C3 - Fabrication d'equipements electriques, electroniques, informatiques ; fabrication de machines</t>
  </si>
  <si>
    <t>C4 - Fabrication de matériels de transport</t>
  </si>
  <si>
    <t xml:space="preserve">C5 - Fabrication d'autres produits industriels </t>
  </si>
  <si>
    <t>FZ - Construction</t>
  </si>
  <si>
    <t>GZ - Commerce ; réparation d'automobiles et de motocycles</t>
  </si>
  <si>
    <t xml:space="preserve">HZ - Transports et entreposage </t>
  </si>
  <si>
    <t>IZ - Hébergement et restauration</t>
  </si>
  <si>
    <t>JZ - Information et communication</t>
  </si>
  <si>
    <t>KZ - Activités financières et d'assurance</t>
  </si>
  <si>
    <t>LZ - Activités immobilières</t>
  </si>
  <si>
    <t xml:space="preserve">MN - Activités scientifiques et techniques ; services administratifs et de soutien </t>
  </si>
  <si>
    <t>OQ - Enseignement, santé humaine et action sociale</t>
  </si>
  <si>
    <t>RU - Autres activités de services</t>
  </si>
  <si>
    <t>Question 3 : Si votre activité a diminué, diriez-vous plutôt que :</t>
  </si>
  <si>
    <t>La crise sanitaire a réduit directement votre activité du fait d'une perte de débouchés</t>
  </si>
  <si>
    <t>La crise sanitaire a réduit directement votre activité du fait de fermetures administratives</t>
  </si>
  <si>
    <t>La crise sanitaire a réduit directement votre activité du fait de difficultés d'approvisionnement</t>
  </si>
  <si>
    <t>La crise sanitaire a réduit votre activité en raison d'un manque de personnel pouvant travailler</t>
  </si>
  <si>
    <t>Gestion des questions sanitaires (masques, distance de sécurité, gel hydro alcoolique, etc.)</t>
  </si>
  <si>
    <t>Difficultés financières</t>
  </si>
  <si>
    <t>Difficultés d'approvisionnement (manque de matière première / intrants, etc.)</t>
  </si>
  <si>
    <t>Fermeture administrative</t>
  </si>
  <si>
    <t>Manque de débouchés</t>
  </si>
  <si>
    <t>Manque de personnel</t>
  </si>
  <si>
    <t>Autre(s)</t>
  </si>
  <si>
    <t>Difficultés liées à l'aval (problème de transport, etc.)</t>
  </si>
  <si>
    <t>Total</t>
  </si>
  <si>
    <t>Gestion des questions sanitaires</t>
  </si>
  <si>
    <t>Difficultés d'approvisionnement</t>
  </si>
  <si>
    <t>Difficultés liées à l'aval</t>
  </si>
  <si>
    <t>Vos effectifs ont diminué</t>
  </si>
  <si>
    <t>Vos effectifs sont restés constants</t>
  </si>
  <si>
    <t>Vos effectifs ont augmenté</t>
  </si>
  <si>
    <t>DE - Industries extractives, énergie, eau, gestion des dechets et dépollution</t>
  </si>
  <si>
    <t>Des non renouvellements de CDD</t>
  </si>
  <si>
    <t>L'annulation ou le report d'embauches prévues</t>
  </si>
  <si>
    <t>Des ruptures conventionnelles</t>
  </si>
  <si>
    <t>Des licenciements de CDI</t>
  </si>
  <si>
    <t>Oui</t>
  </si>
  <si>
    <t>Non</t>
  </si>
  <si>
    <t>Réduction des débouchés / commandes</t>
  </si>
  <si>
    <t>Fermeture obligatoire dans le cadre des restrictions de certaines activités</t>
  </si>
  <si>
    <t>Impossibilité à maintenir l'activité en assurant la sécurité des salariés</t>
  </si>
  <si>
    <t>Travail sur site ou sur chantiers</t>
  </si>
  <si>
    <t>Télétravail ou travail à distance</t>
  </si>
  <si>
    <t>Chômage partiel complet</t>
  </si>
  <si>
    <t>Congés</t>
  </si>
  <si>
    <t>Exercice du droit de retrait</t>
  </si>
  <si>
    <t>la plupart des salariés (80 % ou plus)</t>
  </si>
  <si>
    <t>une majorité des salariés (50 % à 79 %)</t>
  </si>
  <si>
    <t>quelques salariés (moins de 10 %)</t>
  </si>
  <si>
    <t>aucun salarié</t>
  </si>
  <si>
    <t>un nombre conséquent de salariés (30 % à 49 %)</t>
  </si>
  <si>
    <t>certains salariés (10 % à 29 %)</t>
  </si>
  <si>
    <t>Ne sais pas</t>
  </si>
  <si>
    <t>Avez-vous délaissé des produits /activités / services ?</t>
  </si>
  <si>
    <t>Avez-vous proposé de nouveaux produits / activités / services ?</t>
  </si>
  <si>
    <t>Non concerné</t>
  </si>
  <si>
    <t>Développement de la vente en ligne</t>
  </si>
  <si>
    <t>Développement de la vente directe</t>
  </si>
  <si>
    <t>Nouveau système de livraison</t>
  </si>
  <si>
    <t>Collaboration à une plateforme collaborative locale de vente</t>
  </si>
  <si>
    <t>L'activité n'a pas été affectée ou est déjà revenue à la normale</t>
  </si>
  <si>
    <t>L'activité mettra plus de trois mois à revenir à la normale</t>
  </si>
  <si>
    <t>L'activité a été affectée de manière plus durable et ne reviendra pas à la situation antérieure avant la fin de l'année</t>
  </si>
  <si>
    <t>Aucune difficulté</t>
  </si>
  <si>
    <t>Manque de débouchés pour les activités</t>
  </si>
  <si>
    <t>Difficultés d'approvisionnement en masques, gels, et autres équipements de protection individuelle</t>
  </si>
  <si>
    <t>Difficultés à organiser l'activité de manière à respecter la distanciation sociale</t>
  </si>
  <si>
    <t>Réticences ou refus des collaborateurs</t>
  </si>
  <si>
    <t>Réticences ou refus des instances représentatives</t>
  </si>
  <si>
    <t>Difficultés d'approvisionnement en matériaux ou équipements nécessaires à l'activité</t>
  </si>
  <si>
    <t>Disponibilité limitée de certains salariés (par exemple pour garde d'enfants)</t>
  </si>
  <si>
    <t>Autre(s) difficulté(s)</t>
  </si>
  <si>
    <t>nd</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</si>
  <si>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</si>
  <si>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</si>
  <si>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</si>
  <si>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</si>
  <si>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</si>
  <si>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En plus de l'ensemble du champ, les résultats sont présentés pour chacune des grandes catégories socioprofessionnelles : ouvriers, employés, professions intermédiaires et cadres.</t>
  </si>
  <si>
    <t>Contenu des onglets</t>
  </si>
  <si>
    <t>Contact</t>
  </si>
  <si>
    <t>Pour tout renseignement concernant ces séries, vous pouvez nous contacter par e-mail à l'adresse suivante :</t>
  </si>
  <si>
    <t>dares.communication@dares.travail.gouv.fr</t>
  </si>
  <si>
    <t>Tableau 4 : cause de la diminution de l'activité (% de salariés)</t>
  </si>
  <si>
    <t>Arrêt maladie</t>
  </si>
  <si>
    <t>Cela n'a pas d'effet sur la productivité du travail ou les coûts</t>
  </si>
  <si>
    <t>Cela réduit la productivité horaire du travail / augmente les coûts horaires modérément (de moins de 10 %)</t>
  </si>
  <si>
    <t>Cela réduit la productivité horaire du travail / augmente les coûts horaires significativement (de 10 % ou plus)</t>
  </si>
  <si>
    <t>L'activité reviendra très vite à la normale, d’ici un mois</t>
  </si>
  <si>
    <t>L'activité reviendra à la normale d’ici deux ou trois mois</t>
  </si>
  <si>
    <t>Source : Dares, enquête Acemo Covid, juin 2020</t>
  </si>
  <si>
    <t>Retour au sommaire</t>
  </si>
  <si>
    <t>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</si>
  <si>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r>
      <t xml:space="preserve">Résultats de l'enquête Activité et conditions d'emploi de la main d'œuvre - Covid
</t>
    </r>
    <r>
      <rPr>
        <sz val="10"/>
        <rFont val="Arial"/>
        <family val="2"/>
      </rPr>
      <t>Résultats définitifs de juillet 2020</t>
    </r>
  </si>
  <si>
    <t>Question 2 : Au cours du mois de juin, comment votre activité a-t-elle été affectée par la crise sanitaire et ses implications, par rapport à ce qui était prévu ?</t>
  </si>
  <si>
    <t>Note de lecture : au cours du mois de juin, 1,4 % des salariés travaillent dans une entreprise où l'activité a été arrêtée</t>
  </si>
  <si>
    <t>Source : Dares, enquête Acemo Covid, juillet 2020</t>
  </si>
  <si>
    <t>Tableau 1 : évolution de l'activité, au cours du mois de juin, par rapport à ce qui était prévu (% de salariés)</t>
  </si>
  <si>
    <t>Tableau 2 : évolution de l'activité, au cours du mois de juin, par rapport à ce qui était prévu par taille d'entreprise (% de salariés)</t>
  </si>
  <si>
    <t>Tableau 3 : évolution de l'activité, au cours du mois de juin, par rapport à ce qui était prévu par secteur d'activité (% de salariés)</t>
  </si>
  <si>
    <t>Note de lecture : au cours du mois de juin, 64,0 % des salariés travaillent dans une entreprise où l'activité a diminué du fait d'une perte de débouchés.</t>
  </si>
  <si>
    <t>Note de lecture : au 30 juin 2020, 34,1 % des salariés travaillent dans une entreprise qui rencontre des difficultés dans la gestion des questions sanitaires</t>
  </si>
  <si>
    <t>Question 4 : À la date du 30 juin, quelles sont vos principales difficultés rencontrées ?</t>
  </si>
  <si>
    <t>Tableau 5 : Principales difficultés rencontrées depuis le début de la crise sanitaire, au 31 mai (% de salariés)</t>
  </si>
  <si>
    <t>Tableau 6 : Principales difficultés rencontrées depuis le début de la crise sanitaire, au 30 juin par taille d'entreprise (% de salariés)</t>
  </si>
  <si>
    <t>Tableau 7 : Principales difficultés rencontrées depuis le début de la crise sanitaire, au 30 juin par secteur d'activité (% de salariés)</t>
  </si>
  <si>
    <t>Tableau 5 : Principales difficultés rencontrées depuis le début de la crise sanitaire, au 30 juin (% de salariés)</t>
  </si>
  <si>
    <t>Question 5 : À la date du 30 juin, comment vos effectifs (hors intérimaires) se comparent-ils à ce qu'ils auraient été sans la crise sanitaire ?</t>
  </si>
  <si>
    <t>Note de lecture : au 30 juin 2020, 78,9 % des salariés travaillent dans une entreprise où les effectifs sont restés constants malgré la crise sanitaire</t>
  </si>
  <si>
    <t>Tableau 8  : évolution des effectifs du fait de la crise sanitaire (% de salariés)</t>
  </si>
  <si>
    <t>Tableau 9 : évolution des effectifs du fait de la crise sanitaire par taille d'entreprise (% de salariés)</t>
  </si>
  <si>
    <t>Tableau 8 : évolution des effectifs du fait de la crise sanitaire (% de salariés)</t>
  </si>
  <si>
    <t>Tableau 10 : évolution des effectifs du fait de la crise sanitaire par secteurs (% de salariés)</t>
  </si>
  <si>
    <t>Question 6 : Si vos effectifs ont diminué au 30 juin, avez-vous eu recours à :</t>
  </si>
  <si>
    <t>Tableau 11 : causes de la diminution des effectifs</t>
  </si>
  <si>
    <t>Note de lecture : au 30 juin 2020, 5,5 % des salariés travaillent dans une entreprise qui a diminué ses effectifs en recouvrant au licenciement de CDI</t>
  </si>
  <si>
    <t>Question 7 : Au cours du mois de juin, avez-vous mis une partie de vos salariés en chômage partiel en réponse à la crise sanitaire ?</t>
  </si>
  <si>
    <t>Note de lecture : au 30 juin 2020, 57,7 % des salariés travaillent dans une entreprise qui a mis une partie des salariés en chômage partiel</t>
  </si>
  <si>
    <t>Tableau 12 : Salariés en chômage partiel</t>
  </si>
  <si>
    <t>Tableau 13 : Salariés en chômage partiel, par taille d'entreprise</t>
  </si>
  <si>
    <t>Tableau 14 : Salariés en chômage partiel, secteur d'activité</t>
  </si>
  <si>
    <t>Question 8 : Au cours du mois de juin, est-ce que certains salariés en activité partielle étaient des salariés en situation de garde d'enfants ou considérés comme fragiles/vulnérables ?</t>
  </si>
  <si>
    <t>Tableau 15 : Salariés en chômage partiel pour garde d'enfants ou fragilité</t>
  </si>
  <si>
    <t>Tableau 15 : salariés en chômage partiel pour garde d'enfants ou fragilité</t>
  </si>
  <si>
    <t>Tableau 16 : Salariés en chômage partiel pour garde d'enfants ou fragilité, par taille d'entreprise</t>
  </si>
  <si>
    <t>Tableau 16 : salariés en chômage partiel pour garde d'enfants ou fragilité, par taille d'entreprise</t>
  </si>
  <si>
    <t>Tableau 17 : Salariés en chômage partiel pour garde d'enfants ou fragilité, secteur d'activité</t>
  </si>
  <si>
    <t>Tableau 17 : salariés en chômage partiel pour garde d'enfants ou fragilité, par secteur d'activité</t>
  </si>
  <si>
    <t>Note de lecture : au 30 juin 2020, 39,5 % des salariés travaillent dans une entreprise dont la principale raison du recours au chômage partiel est la réduction de débouchés / commandes</t>
  </si>
  <si>
    <t>Salariés en situation de garde d'enfants ou considérés comme fragiles/vulnérables</t>
  </si>
  <si>
    <t>Tableau 18 : principale raison du recours du chômage partiel (% de salariés)</t>
  </si>
  <si>
    <t>Question 11 : Pour quelle raison principale avez-vous eu recours au chômage partiel ?</t>
  </si>
  <si>
    <t>Tableau 19 : principale raison du recours du chômage partiel par taille d'entreprises (% de salariés)</t>
  </si>
  <si>
    <t>Tableau 19 : principale raison du recours du chômage partiel par taille d'entreprise (% de salariés)</t>
  </si>
  <si>
    <t>Tableau 20 : principale raison du recours du chômage partiel par secteur d'activité (% de salariés)</t>
  </si>
  <si>
    <t>Question 12 : au cours du mois de juin, avez-vous eu recours à la formation pour vos salariés en chômage partiel ?</t>
  </si>
  <si>
    <t>Oui, avec une subvention du FNE-Formation</t>
  </si>
  <si>
    <t>Oui, sans subvention du FNE-Formation</t>
  </si>
  <si>
    <t>Oui, mais je ne sais pas si c'est dans le cadre d'une subvention du FNE-Formation</t>
  </si>
  <si>
    <t>Note de lecture : au 30 juin 2020, 8,4 % des salariés travaillent dans une entreprise qui a eu recours à la formation avec une subvention du FNE-Formation pour ses salariés en chômage partiel.</t>
  </si>
  <si>
    <t>Tableau 21 : recours à la formation pour les salariés en chômage partiel (% de salariés)</t>
  </si>
  <si>
    <t>Tableau 22 : recours à la formation pour les salariés en chômage partiel, par taille d'entreprises (% de salariés)</t>
  </si>
  <si>
    <t>Tableau 23 : recours à la formation pour les salariés en chômage partiel, par secteur d'activité (% de salariés)</t>
  </si>
  <si>
    <t>Tableau 22 : recours à la formation pour les salariés en chômage partiel, par taille d'entreprise (% de salariés)</t>
  </si>
  <si>
    <t>Tableau 23 : recours à la formation pour les salariés en chômage partiel par secteur d'activité (% de salariés)</t>
  </si>
  <si>
    <t>Question 12 : En moyenne au cours de la semaine du 22 juin, quelle a été la répartition de vos salariés entre ces différentes situations ?</t>
  </si>
  <si>
    <t>Tableau 24 : Répartition des salariés (% de salariés)</t>
  </si>
  <si>
    <t>Tableau 25 : Répartition des salariés par taille d'entreprise (% de salariés) - Travail sur site ou sur chantiers</t>
  </si>
  <si>
    <t>Tableau 26 : Répartition des salariés par taille d'entreprise (% de salariés) - Télétravail ou travail à distance</t>
  </si>
  <si>
    <t>Tableau 27 : Répartition des salariés par taille d'entreprise (% de salariés) - Chômage partiel complet</t>
  </si>
  <si>
    <t>Tableau 28 : Répartition des salariés par taille d'entreprise (% de salariés) - Arrêt maladie</t>
  </si>
  <si>
    <t>Tableau 29 : Répartition des salariés par taille d'entreprise (% de salariés) - Congés</t>
  </si>
  <si>
    <t>Tableau 30 : Répartition des salariés par taille d'entreprise (% de salariés) - Exercice du droit de retrait</t>
  </si>
  <si>
    <t>Question 15 : En moyenne au cours de la semaine du 22 juin, quelle a été la répartition de vos salariés entre ces différentes situations ?</t>
  </si>
  <si>
    <t>Tableau 31 : Répartition des salariés par secteur d'activité (% de salariés) - Travail sur site ou sur chantiers</t>
  </si>
  <si>
    <t>Tableau 32 : Répartition des salariés par secteur d'activité (% de salariés) - Télétravail ou travail à distance</t>
  </si>
  <si>
    <t>Tableau 33 : Répartition des salariés par secteur d'activité (% de salariés) - Chômage partiel complet</t>
  </si>
  <si>
    <t>Tableau 34 : Répartition des salariés par secteur d'activité (% de salariés) - Arrêt maladie</t>
  </si>
  <si>
    <t>Tableau 35 : Répartition des salariés par secteur d'activité (% de salariés) - Congés</t>
  </si>
  <si>
    <t>Tableau 36 : Répartition des salariés par secteur d'activité (% de salariés) - Exercice du droit de retrait</t>
  </si>
  <si>
    <t>Tableau 37 : Répartition des salariés, selon différentes situations, par taille d'entreprise</t>
  </si>
  <si>
    <t>Tableau 38 : Répartition des salariés, selon différentes situations, par secteur d'activité</t>
  </si>
  <si>
    <t>Question 16 : Depuis le début de la crise sanitaire, avez-vous conclu un accord dans votre établissement/entreprise sur les sujets suivants ?</t>
  </si>
  <si>
    <t>La prime exceptionnelle de pouvoir d'achat</t>
  </si>
  <si>
    <t>L'aménagement des congés payés et les jours octroyés dans le cadre de la réduction du temps de travail</t>
  </si>
  <si>
    <t>L'augmentation de la durée du travail, hebdomadaire ou quotidienne</t>
  </si>
  <si>
    <t>Les heures supplémentaires</t>
  </si>
  <si>
    <t>Le travail le dimanche ou les jours de repos</t>
  </si>
  <si>
    <t>L'activité partielle</t>
  </si>
  <si>
    <t>Le télétravail</t>
  </si>
  <si>
    <t>Aucun accord conclu sur ces sujets</t>
  </si>
  <si>
    <t>Tableau 39 : accords d'entreprise conclus (% de salariés)</t>
  </si>
  <si>
    <t>Tableau 40 : accords d'entreprise conclus, par taille d'entreprise (% de salariés)</t>
  </si>
  <si>
    <t>Tableau 41 : accords d'entreprise conclus, par secteur d'activité (% de salariés)</t>
  </si>
  <si>
    <t>Tableau 39 : Accords d'entreprise conclus (% de salariés)</t>
  </si>
  <si>
    <t>Tableau 40 : Accords d'entreprise conclus, par taille d'entreprise (% de salariés)</t>
  </si>
  <si>
    <t>Tableau 41 : Accords d'entreprise conclus, par secteur d'activité (% de salariés)</t>
  </si>
  <si>
    <t>Question 17 : Depuis le début de la crise sanitaire, avez-vous pris l'une des dispositions suivantes sur le temps de travail, concernant une partie au moins des salariés de votre établissement/entreprise ?</t>
  </si>
  <si>
    <t>Aucune de ces dispositions mise en oeuvre</t>
  </si>
  <si>
    <t>Prise de jours de repos à des dates imposées par l'employeur</t>
  </si>
  <si>
    <t>Utilisation de jours de compte épargne temps imposée par l'employeur</t>
  </si>
  <si>
    <t>Dérogation aux durées légales de travail maximales</t>
  </si>
  <si>
    <t>Dérogation au repos dominical</t>
  </si>
  <si>
    <t>Tableau 42 : différentes dispositions prises sur le temps de travail (% de salariés)</t>
  </si>
  <si>
    <t>Tableau 43 : différentes dispositions prises sur le temps de travail, par taille d'entreprise (% de salariés)</t>
  </si>
  <si>
    <t>Tableau 44 : différentes dispositions prises sur le temps de travail, par secteur d'activité (% de salariés)</t>
  </si>
  <si>
    <t>Tableau 42 : Différentes dispositions prises sur le temps de travail (% de salariés)</t>
  </si>
  <si>
    <t>Tableau 43 : Différentes dispositions prises sur le temps de travail, par taille d'entreprise (% de salariés)</t>
  </si>
  <si>
    <t>Tableau 44 : Différentes dispositions prises sur le temps de travail, par secteur d'activité (% de salariés)</t>
  </si>
  <si>
    <t>Tableau 45 : effet des mesures de protection sanitaire (% de salariés)</t>
  </si>
  <si>
    <t>Note de lecture : 19,1 % des salariés travaillent dans une entreprise dans laquelle les mesures de protection sanitaire n'ont pas eu d'effet sur la productivité du travail ou les coûts.</t>
  </si>
  <si>
    <t>Question 18 : Quel est selon vous l’effet des mesures de protection sanitaire ainsi que d’adaptation de l’organisation du travail (distanciation physique, télétravail, etc.) sur la productivité de votre entreprise (niveau de production par salarié) ou sur vos coûts ?</t>
  </si>
  <si>
    <t>Tableau 46 : effet des mesures de protection sanitaire, par taille d'entreprise (% de salariés)</t>
  </si>
  <si>
    <t>Tableau 47 : effet des mesures de protection sanitaire, par secteur d'activité (% de salariés)</t>
  </si>
  <si>
    <t>Tableau 48 : modification de l'offre en réponse à la crise sanitaire, au mois de juin (% de salariés)</t>
  </si>
  <si>
    <t>Tableau 49 : Réponse "Oui" à la modification de l'offre en réponse à la crise sanitaire, au mois de juin, par taille d'entreprise (% de salariés)</t>
  </si>
  <si>
    <t>Question 19 : Au cours du mois de juin, avez-vous modifié votre offre en réponse à la crise sanitaire ?</t>
  </si>
  <si>
    <t>Tableau 50 : Réponse "Oui" à la modification de l'offre en réponse à la crise sanitaire, au mois de juin, par secteur d'activité (% de salariés)</t>
  </si>
  <si>
    <t>Question 20 : Au cours du mois de juin, avez-vous adapté votre logistique commerciale en réponse à la crise sanitaire ?</t>
  </si>
  <si>
    <t>Tableau 51 : adaptation de la logistique commerciale en réponse à la crise sanitaire (% de salariés)</t>
  </si>
  <si>
    <t>Tableau 52 : adaptation de la logistique commerciale en réponse à la crise sanitaire par taille d'entreprise (% de salariés)</t>
  </si>
  <si>
    <t>Tableau 53 : adaptation de la logistique commerciale en réponse à la crise sanitaire par secteur d'activité (% de salariés)</t>
  </si>
  <si>
    <t>Question 21 : Comment avez-vous adapté votre logistique commerciale à la situation ?</t>
  </si>
  <si>
    <t>Tableau 54 : adaptation de la logistique commerciale (% de salariés)</t>
  </si>
  <si>
    <t>Tableau 55 : adaptation de la logistique commerciale, par taille d'entreprise (% de salariés)</t>
  </si>
  <si>
    <t>Tableau 56 : adaptation de la logistique commerciale, par secteur d'activité (% de salariés)</t>
  </si>
  <si>
    <t>Question 22 : Dans combien de temps pensez-vous que l’activité économique de votre structure va retrouver son niveau normal ?</t>
  </si>
  <si>
    <t>Tableau 57 : reprise de l'activité (% de salariés)</t>
  </si>
  <si>
    <t>Tableau 58 : reprise de l'activité par taille d'entreprise (% de salariés)</t>
  </si>
  <si>
    <t>Tableau 59 : reprise de l'activité par secteur d'activité (% de salariés)</t>
  </si>
  <si>
    <t>Question 23 : Quelles sont les principales difficultés que vous anticipez pour la reprise de votre activité ?</t>
  </si>
  <si>
    <t>Tableau 60 : principales difficultés anticipées pour la reprise de l'activité (% de salariés)</t>
  </si>
  <si>
    <t>Tableau 61 : principales difficultés anticipées pour la reprise de l'activité par taille d'entreprise (% de salariés)</t>
  </si>
  <si>
    <t>Tableau 62 : principales difficultés anticipées pour la reprise de l'activité par secteur d'activité (% de salariés)</t>
  </si>
  <si>
    <t>Tableau 45 : Effet des mesures de protection sanitaire (% de salariés)</t>
  </si>
  <si>
    <t>Tableau 46 : Effet des mesures de protection sanitaire, par taille d'entreprise (% de salariés)</t>
  </si>
  <si>
    <t>Tableau 47 : Effet des mesures de protection sanitaire, par secteur d'activité (% de salariés)</t>
  </si>
  <si>
    <t>Tableau 48 : Modification de l'offre en réponse à la crise sanitaire, au mois de juin (% de salariés)</t>
  </si>
  <si>
    <t>Tableau 51 : Adaptation de la logistique commerciale en réponse à la crise sanitaire (% de salariés)</t>
  </si>
  <si>
    <t>Tableau 52 : Adaptation de la logistique commerciale en réponse à la crise sanitaire par taille d'entreprise (% de salariés)</t>
  </si>
  <si>
    <t>Tableau 53 : Adaptation de la logistique commerciale en réponse à la crise sanitaire par secteur d'activité (% de salariés)</t>
  </si>
  <si>
    <t>Tableau 54 : Adaptation de la logistique commerciale (% de salariés)</t>
  </si>
  <si>
    <t>Tableau 55 : Adaptation de la logistique commerciale, par taille d'entreprise (% de salariés)</t>
  </si>
  <si>
    <t>Tableau 56 : Adaptation de la logistique commerciale, par secteur d'activité (% de salariés)</t>
  </si>
  <si>
    <t>Tableau 57 : Reprise de l'activité (% de salariés)</t>
  </si>
  <si>
    <t>Tableau 58 : Reprise de l'activité par taille d'entreprise (% de salariés)</t>
  </si>
  <si>
    <t>Tableau 59 : Reprise de l'activité par secteur d'activité (% de salariés)</t>
  </si>
  <si>
    <t>Tableau 60 : Principales difficultés anticipées pour la reprise de l'activité (% de salariés)</t>
  </si>
  <si>
    <t>Tableau 61 : Principales difficultés anticipées pour la reprise de l'activité par taille d'entreprise (% de salariés)</t>
  </si>
  <si>
    <t>Tableau 62 : Principales difficultés anticipées pour la reprise de l'activité par secteur d'activité (% de salariés)</t>
  </si>
  <si>
    <r>
      <t xml:space="preserve">L'enquête interroge chaque mois environ </t>
    </r>
    <r>
      <rPr>
        <b/>
        <sz val="9"/>
        <color indexed="8"/>
        <rFont val="Arial"/>
        <family val="2"/>
      </rPr>
      <t>38.000 établissements</t>
    </r>
    <r>
      <rPr>
        <sz val="9"/>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</si>
</sst>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sz val="10"/>
      <name val="Arial"/>
      <family val="2"/>
    </font>
    <font>
      <sz val="10"/>
      <name val="Arial"/>
    </font>
    <font>
      <b/>
      <sz val="10"/>
      <name val="Arial"/>
      <family val="2"/>
    </font>
    <font>
      <sz val="8"/>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i/>
      <sz val="11"/>
      <color theme="1"/>
      <name val="Calibri"/>
      <family val="2"/>
      <scheme val="minor"/>
    </font>
    <font>
      <i/>
      <sz val="11"/>
      <color rgb="FFFF0000"/>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4" fillId="0" borderId="0"/>
    <xf numFmtId="0" fontId="5" fillId="0" borderId="0"/>
    <xf numFmtId="0" fontId="12" fillId="0" borderId="0" applyNumberFormat="0" applyFill="0" applyBorder="0" applyAlignment="0" applyProtection="0">
      <alignment vertical="top"/>
      <protection locked="0"/>
    </xf>
  </cellStyleXfs>
  <cellXfs count="148">
    <xf numFmtId="0" fontId="0" fillId="0" borderId="0" xfId="0"/>
    <xf numFmtId="0" fontId="0" fillId="0" borderId="10" xfId="0" applyBorder="1"/>
    <xf numFmtId="0" fontId="2" fillId="0" borderId="0" xfId="0" applyFont="1"/>
    <xf numFmtId="0" fontId="0" fillId="0" borderId="0" xfId="0"/>
    <xf numFmtId="0" fontId="2" fillId="0" borderId="0" xfId="0" applyFont="1"/>
    <xf numFmtId="0" fontId="0" fillId="0" borderId="1" xfId="0" applyBorder="1"/>
    <xf numFmtId="0" fontId="0" fillId="0" borderId="3" xfId="0" applyBorder="1"/>
    <xf numFmtId="0" fontId="0" fillId="0" borderId="5" xfId="0" applyBorder="1"/>
    <xf numFmtId="0" fontId="3" fillId="0" borderId="3" xfId="0" applyFont="1" applyFill="1" applyBorder="1"/>
    <xf numFmtId="164" fontId="0" fillId="0" borderId="2" xfId="1" applyNumberFormat="1" applyFont="1" applyBorder="1"/>
    <xf numFmtId="164" fontId="0" fillId="0" borderId="4" xfId="1" applyNumberFormat="1" applyFont="1" applyBorder="1"/>
    <xf numFmtId="164" fontId="0" fillId="0" borderId="6" xfId="1" applyNumberFormat="1" applyFont="1" applyBorder="1"/>
    <xf numFmtId="164" fontId="0" fillId="0" borderId="2" xfId="0" applyNumberFormat="1" applyBorder="1"/>
    <xf numFmtId="164" fontId="0" fillId="0" borderId="4" xfId="0" applyNumberFormat="1" applyBorder="1"/>
    <xf numFmtId="164" fontId="0" fillId="0" borderId="6" xfId="0" applyNumberFormat="1" applyBorder="1"/>
    <xf numFmtId="0" fontId="0" fillId="0" borderId="1" xfId="0" applyBorder="1" applyAlignment="1">
      <alignment horizontal="left"/>
    </xf>
    <xf numFmtId="164" fontId="0" fillId="0" borderId="7" xfId="0" applyNumberFormat="1" applyBorder="1"/>
    <xf numFmtId="0" fontId="0" fillId="0" borderId="3" xfId="0" applyBorder="1" applyAlignment="1">
      <alignment horizontal="left"/>
    </xf>
    <xf numFmtId="164" fontId="0" fillId="0" borderId="0" xfId="0" applyNumberFormat="1" applyBorder="1"/>
    <xf numFmtId="0" fontId="0" fillId="0" borderId="5" xfId="0" applyBorder="1" applyAlignment="1">
      <alignment horizontal="left"/>
    </xf>
    <xf numFmtId="164" fontId="0" fillId="0" borderId="8" xfId="0" applyNumberFormat="1" applyBorder="1"/>
    <xf numFmtId="164" fontId="0" fillId="0" borderId="1" xfId="0" applyNumberFormat="1" applyBorder="1"/>
    <xf numFmtId="164" fontId="0" fillId="0" borderId="3" xfId="0" applyNumberFormat="1" applyBorder="1"/>
    <xf numFmtId="164" fontId="0" fillId="0" borderId="5" xfId="0" applyNumberFormat="1" applyBorder="1"/>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164" fontId="0" fillId="0" borderId="10" xfId="1" applyNumberFormat="1" applyFont="1" applyBorder="1"/>
    <xf numFmtId="164" fontId="0" fillId="0" borderId="11" xfId="1" applyNumberFormat="1" applyFont="1" applyBorder="1"/>
    <xf numFmtId="164" fontId="0" fillId="0" borderId="12" xfId="1" applyNumberFormat="1" applyFon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7" fontId="0" fillId="0" borderId="13" xfId="0" quotePrefix="1" applyNumberFormat="1" applyBorder="1" applyAlignment="1">
      <alignment horizontal="center"/>
    </xf>
    <xf numFmtId="164" fontId="0" fillId="0" borderId="10" xfId="0" applyNumberFormat="1" applyBorder="1"/>
    <xf numFmtId="164" fontId="0" fillId="0" borderId="11" xfId="0" applyNumberFormat="1" applyBorder="1"/>
    <xf numFmtId="164" fontId="0" fillId="0" borderId="12" xfId="0" applyNumberFormat="1" applyBorder="1"/>
    <xf numFmtId="0" fontId="0" fillId="0" borderId="10" xfId="0" applyBorder="1" applyAlignment="1">
      <alignment horizontal="center"/>
    </xf>
    <xf numFmtId="0" fontId="0" fillId="0" borderId="1" xfId="0" applyBorder="1" applyAlignment="1">
      <alignment wrapText="1"/>
    </xf>
    <xf numFmtId="0" fontId="0" fillId="0" borderId="5" xfId="0" applyBorder="1" applyAlignment="1">
      <alignment wrapText="1"/>
    </xf>
    <xf numFmtId="0" fontId="0" fillId="0" borderId="15" xfId="0" applyBorder="1"/>
    <xf numFmtId="0" fontId="0" fillId="0" borderId="13" xfId="0" applyBorder="1"/>
    <xf numFmtId="17" fontId="0" fillId="0" borderId="7" xfId="0" quotePrefix="1" applyNumberFormat="1" applyBorder="1" applyAlignment="1">
      <alignment horizontal="center"/>
    </xf>
    <xf numFmtId="0" fontId="0" fillId="0" borderId="7" xfId="0" quotePrefix="1" applyBorder="1" applyAlignment="1">
      <alignment horizontal="center"/>
    </xf>
    <xf numFmtId="0" fontId="0" fillId="0" borderId="2" xfId="0" quotePrefix="1" applyBorder="1" applyAlignment="1">
      <alignment horizontal="center"/>
    </xf>
    <xf numFmtId="0" fontId="0" fillId="0" borderId="11" xfId="0" applyBorder="1"/>
    <xf numFmtId="0" fontId="0" fillId="0" borderId="14" xfId="0" applyFont="1" applyBorder="1" applyAlignment="1">
      <alignment horizontal="center" textRotation="90" wrapText="1"/>
    </xf>
    <xf numFmtId="0" fontId="0" fillId="0" borderId="14" xfId="0" applyFont="1" applyBorder="1" applyAlignment="1">
      <alignment horizontal="center" textRotation="90"/>
    </xf>
    <xf numFmtId="0" fontId="0" fillId="0" borderId="15" xfId="0" applyFont="1" applyBorder="1" applyAlignment="1">
      <alignment horizontal="center" textRotation="90"/>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0" fillId="0" borderId="12" xfId="0" applyBorder="1"/>
    <xf numFmtId="0" fontId="0" fillId="0" borderId="1" xfId="0" applyBorder="1" applyAlignment="1">
      <alignment horizontal="center"/>
    </xf>
    <xf numFmtId="164" fontId="0" fillId="0" borderId="14" xfId="0" applyNumberFormat="1" applyBorder="1"/>
    <xf numFmtId="164" fontId="0" fillId="0" borderId="15" xfId="0" applyNumberFormat="1" applyBorder="1"/>
    <xf numFmtId="164" fontId="0" fillId="0" borderId="13" xfId="0" applyNumberFormat="1" applyBorder="1"/>
    <xf numFmtId="0" fontId="0" fillId="0" borderId="1" xfId="0" applyFont="1" applyBorder="1" applyAlignment="1">
      <alignment horizontal="center" textRotation="90"/>
    </xf>
    <xf numFmtId="0" fontId="0" fillId="0" borderId="7" xfId="0" applyFont="1" applyBorder="1" applyAlignment="1">
      <alignment horizontal="center" textRotation="90" wrapText="1"/>
    </xf>
    <xf numFmtId="0" fontId="0" fillId="0" borderId="7" xfId="0" applyFont="1" applyBorder="1" applyAlignment="1">
      <alignment horizontal="center" textRotation="90"/>
    </xf>
    <xf numFmtId="0" fontId="0" fillId="0" borderId="2" xfId="0" applyFont="1" applyBorder="1" applyAlignment="1">
      <alignment horizontal="center" textRotation="90"/>
    </xf>
    <xf numFmtId="165" fontId="0" fillId="0" borderId="0" xfId="1" applyNumberFormat="1" applyFont="1"/>
    <xf numFmtId="0" fontId="0" fillId="0" borderId="3" xfId="0" applyBorder="1" applyAlignment="1">
      <alignment wrapText="1"/>
    </xf>
    <xf numFmtId="0" fontId="3" fillId="0" borderId="0" xfId="0" applyFont="1" applyFill="1" applyBorder="1"/>
    <xf numFmtId="0" fontId="0" fillId="0" borderId="2" xfId="0" applyBorder="1" applyAlignment="1">
      <alignment horizontal="center"/>
    </xf>
    <xf numFmtId="0" fontId="0" fillId="0" borderId="2" xfId="0" applyFont="1" applyBorder="1" applyAlignment="1">
      <alignment horizontal="center" textRotation="90" wrapText="1"/>
    </xf>
    <xf numFmtId="164" fontId="0" fillId="0" borderId="8" xfId="0" applyNumberFormat="1" applyFont="1" applyBorder="1"/>
    <xf numFmtId="164" fontId="0" fillId="0" borderId="0" xfId="0" applyNumberFormat="1" applyFont="1" applyBorder="1"/>
    <xf numFmtId="0" fontId="0" fillId="0" borderId="0" xfId="0"/>
    <xf numFmtId="164" fontId="0" fillId="0" borderId="0" xfId="0" applyNumberFormat="1"/>
    <xf numFmtId="0" fontId="0" fillId="0" borderId="0" xfId="0"/>
    <xf numFmtId="0" fontId="0" fillId="0" borderId="0" xfId="0"/>
    <xf numFmtId="0" fontId="0" fillId="0" borderId="13" xfId="0" applyBorder="1" applyAlignment="1">
      <alignment horizontal="center"/>
    </xf>
    <xf numFmtId="0" fontId="7" fillId="0" borderId="0" xfId="3" applyFont="1"/>
    <xf numFmtId="0" fontId="8" fillId="2" borderId="0" xfId="3" applyFont="1" applyFill="1" applyAlignment="1">
      <alignment horizontal="left" wrapText="1"/>
    </xf>
    <xf numFmtId="0" fontId="11" fillId="0" borderId="0" xfId="3" applyFont="1"/>
    <xf numFmtId="0" fontId="12" fillId="0" borderId="0" xfId="4" applyAlignment="1" applyProtection="1"/>
    <xf numFmtId="0" fontId="0" fillId="0" borderId="0" xfId="0" applyFont="1" applyFill="1" applyBorder="1" applyAlignment="1">
      <alignment horizontal="center" textRotation="90"/>
    </xf>
    <xf numFmtId="0" fontId="0" fillId="0" borderId="0" xfId="0" applyAlignment="1">
      <alignment horizontal="center" vertical="center"/>
    </xf>
    <xf numFmtId="164" fontId="0" fillId="0" borderId="2" xfId="1" applyNumberFormat="1" applyFont="1" applyBorder="1" applyAlignment="1">
      <alignment horizontal="center" vertical="center"/>
    </xf>
    <xf numFmtId="164" fontId="0" fillId="0" borderId="4" xfId="1" applyNumberFormat="1" applyFont="1" applyBorder="1" applyAlignment="1">
      <alignment horizontal="center" vertical="center"/>
    </xf>
    <xf numFmtId="164" fontId="0" fillId="0" borderId="6" xfId="1" applyNumberFormat="1" applyFont="1" applyBorder="1" applyAlignment="1">
      <alignment horizontal="center" vertical="center"/>
    </xf>
    <xf numFmtId="0" fontId="14" fillId="0" borderId="0" xfId="0" applyFont="1" applyFill="1" applyAlignment="1">
      <alignment horizontal="center" vertical="center"/>
    </xf>
    <xf numFmtId="164" fontId="14" fillId="0" borderId="0" xfId="0" applyNumberFormat="1" applyFont="1" applyFill="1" applyAlignment="1">
      <alignment horizontal="center" vertical="center"/>
    </xf>
    <xf numFmtId="0" fontId="15" fillId="0" borderId="0" xfId="0" applyFont="1" applyFill="1" applyAlignment="1">
      <alignment horizontal="center" vertical="center"/>
    </xf>
    <xf numFmtId="0" fontId="0" fillId="0" borderId="9" xfId="0" applyBorder="1"/>
    <xf numFmtId="0" fontId="0" fillId="0" borderId="9" xfId="0" applyFont="1" applyFill="1" applyBorder="1" applyAlignment="1">
      <alignment horizontal="center" textRotation="90" wrapText="1"/>
    </xf>
    <xf numFmtId="0" fontId="0" fillId="0" borderId="1" xfId="0" applyBorder="1" applyAlignment="1">
      <alignment vertical="center"/>
    </xf>
    <xf numFmtId="0" fontId="0" fillId="0" borderId="3" xfId="0" applyBorder="1" applyAlignment="1">
      <alignment vertical="center"/>
    </xf>
    <xf numFmtId="164" fontId="0" fillId="0" borderId="4" xfId="0" applyNumberFormat="1" applyBorder="1" applyAlignment="1"/>
    <xf numFmtId="0" fontId="0" fillId="0" borderId="5" xfId="0" applyBorder="1" applyAlignment="1">
      <alignment vertical="center"/>
    </xf>
    <xf numFmtId="0" fontId="0" fillId="0" borderId="1" xfId="0" applyFont="1" applyBorder="1" applyAlignment="1">
      <alignment horizontal="center" textRotation="90" wrapText="1"/>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0" xfId="0"/>
    <xf numFmtId="0" fontId="0" fillId="0" borderId="10" xfId="0" applyBorder="1"/>
    <xf numFmtId="0" fontId="2" fillId="0" borderId="0" xfId="0" applyFont="1"/>
    <xf numFmtId="0" fontId="0" fillId="0" borderId="1" xfId="0" applyBorder="1"/>
    <xf numFmtId="0" fontId="0" fillId="0" borderId="3" xfId="0" applyBorder="1"/>
    <xf numFmtId="0" fontId="0" fillId="0" borderId="5" xfId="0" applyBorder="1"/>
    <xf numFmtId="0" fontId="3" fillId="0" borderId="3" xfId="0" applyFont="1" applyFill="1" applyBorder="1"/>
    <xf numFmtId="164" fontId="0" fillId="0" borderId="2" xfId="0" applyNumberFormat="1" applyBorder="1"/>
    <xf numFmtId="164" fontId="0" fillId="0" borderId="4" xfId="0" applyNumberFormat="1" applyBorder="1"/>
    <xf numFmtId="164" fontId="0" fillId="0" borderId="6" xfId="0" applyNumberFormat="1" applyBorder="1"/>
    <xf numFmtId="164" fontId="0" fillId="0" borderId="7" xfId="0" applyNumberFormat="1" applyBorder="1"/>
    <xf numFmtId="164" fontId="0" fillId="0" borderId="0" xfId="0" applyNumberFormat="1" applyBorder="1"/>
    <xf numFmtId="164" fontId="0" fillId="0" borderId="8" xfId="0" applyNumberFormat="1" applyBorder="1"/>
    <xf numFmtId="164" fontId="0" fillId="0" borderId="3" xfId="0" applyNumberFormat="1" applyBorder="1"/>
    <xf numFmtId="164" fontId="0" fillId="0" borderId="5" xfId="0" applyNumberForma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64" fontId="0" fillId="0" borderId="10" xfId="0" applyNumberFormat="1" applyBorder="1"/>
    <xf numFmtId="164" fontId="0" fillId="0" borderId="11" xfId="0" applyNumberFormat="1" applyBorder="1"/>
    <xf numFmtId="164" fontId="0" fillId="0" borderId="12" xfId="0" applyNumberFormat="1" applyBorder="1"/>
    <xf numFmtId="0" fontId="0" fillId="0" borderId="13" xfId="0" applyBorder="1"/>
    <xf numFmtId="0" fontId="0" fillId="0" borderId="11" xfId="0" applyBorder="1"/>
    <xf numFmtId="0" fontId="0" fillId="0" borderId="14" xfId="0" applyFont="1" applyBorder="1" applyAlignment="1">
      <alignment horizontal="center" textRotation="90" wrapText="1"/>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0" fillId="0" borderId="12" xfId="0" applyBorder="1"/>
    <xf numFmtId="164" fontId="0" fillId="0" borderId="14" xfId="0" applyNumberFormat="1" applyBorder="1"/>
    <xf numFmtId="164" fontId="0" fillId="0" borderId="15" xfId="0" applyNumberFormat="1" applyBorder="1"/>
    <xf numFmtId="164" fontId="0" fillId="0" borderId="13" xfId="0" applyNumberFormat="1" applyBorder="1"/>
    <xf numFmtId="0" fontId="3" fillId="0" borderId="0" xfId="0" applyFont="1" applyFill="1" applyBorder="1"/>
    <xf numFmtId="0" fontId="0" fillId="0" borderId="11" xfId="0" applyBorder="1" applyAlignment="1">
      <alignment wrapText="1"/>
    </xf>
    <xf numFmtId="164" fontId="0" fillId="0" borderId="0" xfId="0" applyNumberFormat="1"/>
    <xf numFmtId="0" fontId="12" fillId="0" borderId="0" xfId="4" applyAlignment="1" applyProtection="1"/>
    <xf numFmtId="1" fontId="0" fillId="0" borderId="3" xfId="0" applyNumberFormat="1" applyBorder="1" applyAlignment="1">
      <alignment horizontal="right"/>
    </xf>
    <xf numFmtId="1" fontId="0" fillId="0" borderId="0" xfId="0" applyNumberFormat="1" applyBorder="1" applyAlignment="1">
      <alignment horizontal="right"/>
    </xf>
    <xf numFmtId="164" fontId="0" fillId="0" borderId="3" xfId="0" applyNumberFormat="1" applyBorder="1" applyAlignment="1">
      <alignment horizontal="right"/>
    </xf>
    <xf numFmtId="164" fontId="0" fillId="0" borderId="0" xfId="0" applyNumberFormat="1" applyBorder="1" applyAlignment="1">
      <alignment horizontal="right"/>
    </xf>
    <xf numFmtId="164" fontId="0" fillId="0" borderId="8" xfId="0" applyNumberFormat="1" applyBorder="1" applyAlignment="1">
      <alignment horizontal="right"/>
    </xf>
    <xf numFmtId="164" fontId="0" fillId="0" borderId="4" xfId="0" applyNumberFormat="1" applyBorder="1" applyAlignment="1">
      <alignment horizontal="right"/>
    </xf>
    <xf numFmtId="0" fontId="12" fillId="0" borderId="0" xfId="4" applyAlignment="1" applyProtection="1">
      <alignment wrapText="1"/>
    </xf>
    <xf numFmtId="0" fontId="7" fillId="0" borderId="0" xfId="3" applyFont="1" applyAlignment="1">
      <alignment wrapText="1"/>
    </xf>
    <xf numFmtId="0" fontId="9" fillId="3" borderId="0" xfId="3" applyFont="1" applyFill="1" applyAlignment="1">
      <alignment horizontal="left" vertical="center" wrapText="1"/>
    </xf>
    <xf numFmtId="0" fontId="13" fillId="3" borderId="0" xfId="4" applyFont="1" applyFill="1" applyAlignment="1" applyProtection="1">
      <alignment horizontal="left" vertical="center" wrapText="1"/>
    </xf>
    <xf numFmtId="0" fontId="11" fillId="0" borderId="0" xfId="3" applyFont="1" applyAlignment="1">
      <alignment vertical="top" wrapText="1"/>
    </xf>
    <xf numFmtId="0" fontId="8" fillId="2" borderId="0" xfId="3" applyFont="1" applyFill="1" applyAlignment="1">
      <alignment horizontal="left" wrapText="1"/>
    </xf>
    <xf numFmtId="0" fontId="6" fillId="0" borderId="0" xfId="3" applyFont="1" applyAlignment="1">
      <alignment horizontal="center" vertical="center" wrapText="1"/>
    </xf>
    <xf numFmtId="0" fontId="4" fillId="0" borderId="0" xfId="3" applyFont="1" applyAlignment="1">
      <alignment horizontal="center" vertical="center"/>
    </xf>
    <xf numFmtId="0" fontId="9" fillId="3" borderId="0" xfId="3" applyFont="1" applyFill="1" applyAlignment="1">
      <alignment horizontal="left" vertical="top" wrapText="1"/>
    </xf>
    <xf numFmtId="0" fontId="8" fillId="2" borderId="0" xfId="3" applyFont="1" applyFill="1" applyAlignment="1">
      <alignment horizontal="left" vertical="center" wrapText="1"/>
    </xf>
    <xf numFmtId="0" fontId="11" fillId="3" borderId="0" xfId="3" applyFont="1" applyFill="1" applyAlignment="1">
      <alignment horizontal="left" vertical="center" wrapText="1"/>
    </xf>
    <xf numFmtId="0" fontId="2" fillId="0" borderId="0" xfId="0" applyFont="1" applyAlignment="1">
      <alignment wrapText="1"/>
    </xf>
  </cellXfs>
  <cellStyles count="5">
    <cellStyle name="Lien hypertexte" xfId="4" builtinId="8"/>
    <cellStyle name="Normal" xfId="0" builtinId="0"/>
    <cellStyle name="Normal 2" xfId="2"/>
    <cellStyle name="Normal 4"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stacked"/>
        <c:varyColors val="0"/>
        <c:ser>
          <c:idx val="0"/>
          <c:order val="0"/>
          <c:tx>
            <c:strRef>
              <c:f>'Q2_Tab 2'!$A$5</c:f>
              <c:strCache>
                <c:ptCount val="1"/>
                <c:pt idx="0">
                  <c:v>Elle a été arrêtée</c:v>
                </c:pt>
              </c:strCache>
            </c:strRef>
          </c:tx>
          <c:spPr>
            <a:solidFill>
              <a:schemeClr val="accent1">
                <a:shade val="53000"/>
              </a:schemeClr>
            </a:solidFill>
            <a:ln>
              <a:noFill/>
            </a:ln>
            <a:effectLst/>
          </c:spPr>
          <c:invertIfNegative val="0"/>
          <c:cat>
            <c:strRef>
              <c:f>'Q2_Tab 2'!$B$4:$H$4</c:f>
              <c:strCache>
                <c:ptCount val="7"/>
                <c:pt idx="0">
                  <c:v>Ensemble</c:v>
                </c:pt>
                <c:pt idx="1">
                  <c:v>10 - 19</c:v>
                </c:pt>
                <c:pt idx="2">
                  <c:v>20 - 49</c:v>
                </c:pt>
                <c:pt idx="3">
                  <c:v>50 - 99</c:v>
                </c:pt>
                <c:pt idx="4">
                  <c:v>100 - 249</c:v>
                </c:pt>
                <c:pt idx="5">
                  <c:v>250 - 499</c:v>
                </c:pt>
                <c:pt idx="6">
                  <c:v>500 et +</c:v>
                </c:pt>
              </c:strCache>
            </c:strRef>
          </c:cat>
          <c:val>
            <c:numRef>
              <c:f>'Q2_Tab 2'!$B$5:$H$5</c:f>
              <c:numCache>
                <c:formatCode>0.0</c:formatCode>
                <c:ptCount val="7"/>
                <c:pt idx="0">
                  <c:v>1.4000000000000001</c:v>
                </c:pt>
                <c:pt idx="1">
                  <c:v>3</c:v>
                </c:pt>
                <c:pt idx="2">
                  <c:v>2.1</c:v>
                </c:pt>
                <c:pt idx="3">
                  <c:v>1.7000000000000002</c:v>
                </c:pt>
                <c:pt idx="4">
                  <c:v>1.7999999999999998</c:v>
                </c:pt>
                <c:pt idx="5">
                  <c:v>1.2</c:v>
                </c:pt>
                <c:pt idx="6">
                  <c:v>0.5</c:v>
                </c:pt>
              </c:numCache>
            </c:numRef>
          </c:val>
          <c:extLst>
            <c:ext xmlns:c16="http://schemas.microsoft.com/office/drawing/2014/chart" uri="{C3380CC4-5D6E-409C-BE32-E72D297353CC}">
              <c16:uniqueId val="{00000000-42BA-4C06-AFD8-478604B2E739}"/>
            </c:ext>
          </c:extLst>
        </c:ser>
        <c:ser>
          <c:idx val="1"/>
          <c:order val="1"/>
          <c:tx>
            <c:strRef>
              <c:f>'Q2_Tab 2'!$A$6</c:f>
              <c:strCache>
                <c:ptCount val="1"/>
                <c:pt idx="0">
                  <c:v>Elle a diminué très fortement (de 50 % ou plus)</c:v>
                </c:pt>
              </c:strCache>
            </c:strRef>
          </c:tx>
          <c:spPr>
            <a:solidFill>
              <a:schemeClr val="accent1">
                <a:shade val="76000"/>
              </a:schemeClr>
            </a:solidFill>
            <a:ln>
              <a:noFill/>
            </a:ln>
            <a:effectLst/>
          </c:spPr>
          <c:invertIfNegative val="0"/>
          <c:cat>
            <c:strRef>
              <c:f>'Q2_Tab 2'!$B$4:$H$4</c:f>
              <c:strCache>
                <c:ptCount val="7"/>
                <c:pt idx="0">
                  <c:v>Ensemble</c:v>
                </c:pt>
                <c:pt idx="1">
                  <c:v>10 - 19</c:v>
                </c:pt>
                <c:pt idx="2">
                  <c:v>20 - 49</c:v>
                </c:pt>
                <c:pt idx="3">
                  <c:v>50 - 99</c:v>
                </c:pt>
                <c:pt idx="4">
                  <c:v>100 - 249</c:v>
                </c:pt>
                <c:pt idx="5">
                  <c:v>250 - 499</c:v>
                </c:pt>
                <c:pt idx="6">
                  <c:v>500 et +</c:v>
                </c:pt>
              </c:strCache>
            </c:strRef>
          </c:cat>
          <c:val>
            <c:numRef>
              <c:f>'Q2_Tab 2'!$B$6:$H$6</c:f>
              <c:numCache>
                <c:formatCode>0.0</c:formatCode>
                <c:ptCount val="7"/>
                <c:pt idx="0">
                  <c:v>11.4</c:v>
                </c:pt>
                <c:pt idx="1">
                  <c:v>14.299999999999999</c:v>
                </c:pt>
                <c:pt idx="2">
                  <c:v>11.700000000000001</c:v>
                </c:pt>
                <c:pt idx="3">
                  <c:v>9.9</c:v>
                </c:pt>
                <c:pt idx="4">
                  <c:v>8.3000000000000007</c:v>
                </c:pt>
                <c:pt idx="5">
                  <c:v>9.9</c:v>
                </c:pt>
                <c:pt idx="6">
                  <c:v>12.3</c:v>
                </c:pt>
              </c:numCache>
            </c:numRef>
          </c:val>
          <c:extLst>
            <c:ext xmlns:c16="http://schemas.microsoft.com/office/drawing/2014/chart" uri="{C3380CC4-5D6E-409C-BE32-E72D297353CC}">
              <c16:uniqueId val="{00000001-42BA-4C06-AFD8-478604B2E739}"/>
            </c:ext>
          </c:extLst>
        </c:ser>
        <c:ser>
          <c:idx val="2"/>
          <c:order val="2"/>
          <c:tx>
            <c:strRef>
              <c:f>'Q2_Tab 2'!$A$7</c:f>
              <c:strCache>
                <c:ptCount val="1"/>
                <c:pt idx="0">
                  <c:v>Elle a diminué fortement (de moins de 50 %)</c:v>
                </c:pt>
              </c:strCache>
            </c:strRef>
          </c:tx>
          <c:spPr>
            <a:solidFill>
              <a:schemeClr val="accent1"/>
            </a:solidFill>
            <a:ln>
              <a:noFill/>
            </a:ln>
            <a:effectLst/>
          </c:spPr>
          <c:invertIfNegative val="0"/>
          <c:cat>
            <c:strRef>
              <c:f>'Q2_Tab 2'!$B$4:$H$4</c:f>
              <c:strCache>
                <c:ptCount val="7"/>
                <c:pt idx="0">
                  <c:v>Ensemble</c:v>
                </c:pt>
                <c:pt idx="1">
                  <c:v>10 - 19</c:v>
                </c:pt>
                <c:pt idx="2">
                  <c:v>20 - 49</c:v>
                </c:pt>
                <c:pt idx="3">
                  <c:v>50 - 99</c:v>
                </c:pt>
                <c:pt idx="4">
                  <c:v>100 - 249</c:v>
                </c:pt>
                <c:pt idx="5">
                  <c:v>250 - 499</c:v>
                </c:pt>
                <c:pt idx="6">
                  <c:v>500 et +</c:v>
                </c:pt>
              </c:strCache>
            </c:strRef>
          </c:cat>
          <c:val>
            <c:numRef>
              <c:f>'Q2_Tab 2'!$B$7:$H$7</c:f>
              <c:numCache>
                <c:formatCode>0.0</c:formatCode>
                <c:ptCount val="7"/>
                <c:pt idx="0">
                  <c:v>38.5</c:v>
                </c:pt>
                <c:pt idx="1">
                  <c:v>29.299999999999997</c:v>
                </c:pt>
                <c:pt idx="2">
                  <c:v>32.9</c:v>
                </c:pt>
                <c:pt idx="3">
                  <c:v>32.9</c:v>
                </c:pt>
                <c:pt idx="4">
                  <c:v>36.799999999999997</c:v>
                </c:pt>
                <c:pt idx="5">
                  <c:v>36.700000000000003</c:v>
                </c:pt>
                <c:pt idx="6">
                  <c:v>45.7</c:v>
                </c:pt>
              </c:numCache>
            </c:numRef>
          </c:val>
          <c:extLst>
            <c:ext xmlns:c16="http://schemas.microsoft.com/office/drawing/2014/chart" uri="{C3380CC4-5D6E-409C-BE32-E72D297353CC}">
              <c16:uniqueId val="{00000002-42BA-4C06-AFD8-478604B2E739}"/>
            </c:ext>
          </c:extLst>
        </c:ser>
        <c:ser>
          <c:idx val="3"/>
          <c:order val="3"/>
          <c:tx>
            <c:strRef>
              <c:f>'Q2_Tab 2'!$A$8</c:f>
              <c:strCache>
                <c:ptCount val="1"/>
                <c:pt idx="0">
                  <c:v>Elle est restée inchangée</c:v>
                </c:pt>
              </c:strCache>
            </c:strRef>
          </c:tx>
          <c:spPr>
            <a:solidFill>
              <a:schemeClr val="accent1">
                <a:tint val="77000"/>
              </a:schemeClr>
            </a:solidFill>
            <a:ln>
              <a:noFill/>
            </a:ln>
            <a:effectLst/>
          </c:spPr>
          <c:invertIfNegative val="0"/>
          <c:cat>
            <c:strRef>
              <c:f>'Q2_Tab 2'!$B$4:$H$4</c:f>
              <c:strCache>
                <c:ptCount val="7"/>
                <c:pt idx="0">
                  <c:v>Ensemble</c:v>
                </c:pt>
                <c:pt idx="1">
                  <c:v>10 - 19</c:v>
                </c:pt>
                <c:pt idx="2">
                  <c:v>20 - 49</c:v>
                </c:pt>
                <c:pt idx="3">
                  <c:v>50 - 99</c:v>
                </c:pt>
                <c:pt idx="4">
                  <c:v>100 - 249</c:v>
                </c:pt>
                <c:pt idx="5">
                  <c:v>250 - 499</c:v>
                </c:pt>
                <c:pt idx="6">
                  <c:v>500 et +</c:v>
                </c:pt>
              </c:strCache>
            </c:strRef>
          </c:cat>
          <c:val>
            <c:numRef>
              <c:f>'Q2_Tab 2'!$B$8:$H$8</c:f>
              <c:numCache>
                <c:formatCode>0.0</c:formatCode>
                <c:ptCount val="7"/>
                <c:pt idx="0">
                  <c:v>37.1</c:v>
                </c:pt>
                <c:pt idx="1">
                  <c:v>42.699999999999996</c:v>
                </c:pt>
                <c:pt idx="2">
                  <c:v>41.6</c:v>
                </c:pt>
                <c:pt idx="3">
                  <c:v>44.9</c:v>
                </c:pt>
                <c:pt idx="4">
                  <c:v>41.5</c:v>
                </c:pt>
                <c:pt idx="5">
                  <c:v>42</c:v>
                </c:pt>
                <c:pt idx="6">
                  <c:v>29.099999999999998</c:v>
                </c:pt>
              </c:numCache>
            </c:numRef>
          </c:val>
          <c:extLst>
            <c:ext xmlns:c16="http://schemas.microsoft.com/office/drawing/2014/chart" uri="{C3380CC4-5D6E-409C-BE32-E72D297353CC}">
              <c16:uniqueId val="{00000003-42BA-4C06-AFD8-478604B2E739}"/>
            </c:ext>
          </c:extLst>
        </c:ser>
        <c:ser>
          <c:idx val="4"/>
          <c:order val="4"/>
          <c:tx>
            <c:strRef>
              <c:f>'Q2_Tab 2'!$A$9</c:f>
              <c:strCache>
                <c:ptCount val="1"/>
                <c:pt idx="0">
                  <c:v>Elle a augmenté</c:v>
                </c:pt>
              </c:strCache>
            </c:strRef>
          </c:tx>
          <c:spPr>
            <a:solidFill>
              <a:schemeClr val="accent1">
                <a:tint val="54000"/>
              </a:schemeClr>
            </a:solidFill>
            <a:ln>
              <a:noFill/>
            </a:ln>
            <a:effectLst/>
          </c:spPr>
          <c:invertIfNegative val="0"/>
          <c:cat>
            <c:strRef>
              <c:f>'Q2_Tab 2'!$B$4:$H$4</c:f>
              <c:strCache>
                <c:ptCount val="7"/>
                <c:pt idx="0">
                  <c:v>Ensemble</c:v>
                </c:pt>
                <c:pt idx="1">
                  <c:v>10 - 19</c:v>
                </c:pt>
                <c:pt idx="2">
                  <c:v>20 - 49</c:v>
                </c:pt>
                <c:pt idx="3">
                  <c:v>50 - 99</c:v>
                </c:pt>
                <c:pt idx="4">
                  <c:v>100 - 249</c:v>
                </c:pt>
                <c:pt idx="5">
                  <c:v>250 - 499</c:v>
                </c:pt>
                <c:pt idx="6">
                  <c:v>500 et +</c:v>
                </c:pt>
              </c:strCache>
            </c:strRef>
          </c:cat>
          <c:val>
            <c:numRef>
              <c:f>'Q2_Tab 2'!$B$9:$H$9</c:f>
              <c:numCache>
                <c:formatCode>0.0</c:formatCode>
                <c:ptCount val="7"/>
                <c:pt idx="0">
                  <c:v>11.600000000000001</c:v>
                </c:pt>
                <c:pt idx="1">
                  <c:v>10.6</c:v>
                </c:pt>
                <c:pt idx="2">
                  <c:v>11.700000000000001</c:v>
                </c:pt>
                <c:pt idx="3">
                  <c:v>10.7</c:v>
                </c:pt>
                <c:pt idx="4">
                  <c:v>11.600000000000001</c:v>
                </c:pt>
                <c:pt idx="5">
                  <c:v>10.199999999999999</c:v>
                </c:pt>
                <c:pt idx="6">
                  <c:v>12.4</c:v>
                </c:pt>
              </c:numCache>
            </c:numRef>
          </c:val>
          <c:extLst>
            <c:ext xmlns:c16="http://schemas.microsoft.com/office/drawing/2014/chart" uri="{C3380CC4-5D6E-409C-BE32-E72D297353CC}">
              <c16:uniqueId val="{00000004-42BA-4C06-AFD8-478604B2E739}"/>
            </c:ext>
          </c:extLst>
        </c:ser>
        <c:dLbls>
          <c:showLegendKey val="0"/>
          <c:showVal val="0"/>
          <c:showCatName val="0"/>
          <c:showSerName val="0"/>
          <c:showPercent val="0"/>
          <c:showBubbleSize val="0"/>
        </c:dLbls>
        <c:gapWidth val="219"/>
        <c:overlap val="100"/>
        <c:axId val="503198904"/>
        <c:axId val="503190376"/>
      </c:barChart>
      <c:catAx>
        <c:axId val="503198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0376"/>
        <c:crosses val="autoZero"/>
        <c:auto val="1"/>
        <c:lblAlgn val="ctr"/>
        <c:lblOffset val="100"/>
        <c:noMultiLvlLbl val="0"/>
      </c:catAx>
      <c:valAx>
        <c:axId val="5031903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8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Causes de la diminution des effectifs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'Q6_Tab 11'!$A$4:$A$8</c:f>
              <c:strCache>
                <c:ptCount val="5"/>
                <c:pt idx="0">
                  <c:v>Des non renouvellements de CDD</c:v>
                </c:pt>
                <c:pt idx="1">
                  <c:v>L'annulation ou le report d'embauches prévues</c:v>
                </c:pt>
                <c:pt idx="2">
                  <c:v>Autre(s)</c:v>
                </c:pt>
                <c:pt idx="3">
                  <c:v>Des licenciements de CDI</c:v>
                </c:pt>
                <c:pt idx="4">
                  <c:v>Des ruptures conventionnelles</c:v>
                </c:pt>
              </c:strCache>
            </c:strRef>
          </c:cat>
          <c:val>
            <c:numRef>
              <c:f>'Q6_Tab 11'!$B$4:$B$8</c:f>
              <c:numCache>
                <c:formatCode>0.0</c:formatCode>
                <c:ptCount val="5"/>
                <c:pt idx="0">
                  <c:v>50.8</c:v>
                </c:pt>
                <c:pt idx="1">
                  <c:v>58.599999999999994</c:v>
                </c:pt>
                <c:pt idx="2">
                  <c:v>23.400000000000002</c:v>
                </c:pt>
                <c:pt idx="3">
                  <c:v>5.5</c:v>
                </c:pt>
                <c:pt idx="4">
                  <c:v>10.199999999999999</c:v>
                </c:pt>
              </c:numCache>
            </c:numRef>
          </c:val>
          <c:extLst>
            <c:ext xmlns:c16="http://schemas.microsoft.com/office/drawing/2014/chart" uri="{C3380CC4-5D6E-409C-BE32-E72D297353CC}">
              <c16:uniqueId val="{00000000-A29A-4212-9F78-C00FD6FC4DEA}"/>
            </c:ext>
          </c:extLst>
        </c:ser>
        <c:dLbls>
          <c:showLegendKey val="0"/>
          <c:showVal val="0"/>
          <c:showCatName val="0"/>
          <c:showSerName val="0"/>
          <c:showPercent val="0"/>
          <c:showBubbleSize val="0"/>
        </c:dLbls>
        <c:gapWidth val="219"/>
        <c:overlap val="-27"/>
        <c:axId val="653864216"/>
        <c:axId val="653870448"/>
      </c:barChart>
      <c:catAx>
        <c:axId val="65386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70448"/>
        <c:crosses val="autoZero"/>
        <c:auto val="1"/>
        <c:lblAlgn val="ctr"/>
        <c:lblOffset val="100"/>
        <c:noMultiLvlLbl val="0"/>
      </c:catAx>
      <c:valAx>
        <c:axId val="6538704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64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par taille d'entreprise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'Q7_Tab 13'!$A$5</c:f>
              <c:strCache>
                <c:ptCount val="1"/>
                <c:pt idx="0">
                  <c:v>Oui</c:v>
                </c:pt>
              </c:strCache>
            </c:strRef>
          </c:tx>
          <c:spPr>
            <a:solidFill>
              <a:schemeClr val="accent1"/>
            </a:solidFill>
            <a:ln>
              <a:noFill/>
            </a:ln>
            <a:effectLst/>
          </c:spPr>
          <c:invertIfNegative val="0"/>
          <c:cat>
            <c:strRef>
              <c:f>'Q7_Tab 13'!$B$4:$H$4</c:f>
              <c:strCache>
                <c:ptCount val="7"/>
                <c:pt idx="0">
                  <c:v>Total</c:v>
                </c:pt>
                <c:pt idx="1">
                  <c:v>10 - 19</c:v>
                </c:pt>
                <c:pt idx="2">
                  <c:v>20 - 49</c:v>
                </c:pt>
                <c:pt idx="3">
                  <c:v>50 - 99</c:v>
                </c:pt>
                <c:pt idx="4">
                  <c:v>100 - 249</c:v>
                </c:pt>
                <c:pt idx="5">
                  <c:v>250 - 499</c:v>
                </c:pt>
                <c:pt idx="6">
                  <c:v>500 et +</c:v>
                </c:pt>
              </c:strCache>
            </c:strRef>
          </c:cat>
          <c:val>
            <c:numRef>
              <c:f>'Q7_Tab 13'!$B$5:$H$5</c:f>
              <c:numCache>
                <c:formatCode>0.0</c:formatCode>
                <c:ptCount val="7"/>
                <c:pt idx="0">
                  <c:v>57.699999999999996</c:v>
                </c:pt>
                <c:pt idx="1">
                  <c:v>41.8</c:v>
                </c:pt>
                <c:pt idx="2">
                  <c:v>52.300000000000004</c:v>
                </c:pt>
                <c:pt idx="3">
                  <c:v>57.199999999999996</c:v>
                </c:pt>
                <c:pt idx="4">
                  <c:v>63.5</c:v>
                </c:pt>
                <c:pt idx="5">
                  <c:v>67.400000000000006</c:v>
                </c:pt>
                <c:pt idx="6">
                  <c:v>60.099999999999994</c:v>
                </c:pt>
              </c:numCache>
            </c:numRef>
          </c:val>
          <c:extLst>
            <c:ext xmlns:c16="http://schemas.microsoft.com/office/drawing/2014/chart" uri="{C3380CC4-5D6E-409C-BE32-E72D297353CC}">
              <c16:uniqueId val="{00000000-2DC9-4BE4-9269-C2C3B1326C55}"/>
            </c:ext>
          </c:extLst>
        </c:ser>
        <c:ser>
          <c:idx val="1"/>
          <c:order val="1"/>
          <c:tx>
            <c:strRef>
              <c:f>'Q7_Tab 13'!$A$6</c:f>
              <c:strCache>
                <c:ptCount val="1"/>
                <c:pt idx="0">
                  <c:v>Non</c:v>
                </c:pt>
              </c:strCache>
            </c:strRef>
          </c:tx>
          <c:spPr>
            <a:solidFill>
              <a:schemeClr val="accent2"/>
            </a:solidFill>
            <a:ln>
              <a:noFill/>
            </a:ln>
            <a:effectLst/>
          </c:spPr>
          <c:invertIfNegative val="0"/>
          <c:cat>
            <c:strRef>
              <c:f>'Q7_Tab 13'!$B$4:$H$4</c:f>
              <c:strCache>
                <c:ptCount val="7"/>
                <c:pt idx="0">
                  <c:v>Total</c:v>
                </c:pt>
                <c:pt idx="1">
                  <c:v>10 - 19</c:v>
                </c:pt>
                <c:pt idx="2">
                  <c:v>20 - 49</c:v>
                </c:pt>
                <c:pt idx="3">
                  <c:v>50 - 99</c:v>
                </c:pt>
                <c:pt idx="4">
                  <c:v>100 - 249</c:v>
                </c:pt>
                <c:pt idx="5">
                  <c:v>250 - 499</c:v>
                </c:pt>
                <c:pt idx="6">
                  <c:v>500 et +</c:v>
                </c:pt>
              </c:strCache>
            </c:strRef>
          </c:cat>
          <c:val>
            <c:numRef>
              <c:f>'Q7_Tab 13'!$B$6:$H$6</c:f>
              <c:numCache>
                <c:formatCode>0.0</c:formatCode>
                <c:ptCount val="7"/>
                <c:pt idx="0">
                  <c:v>42.3</c:v>
                </c:pt>
                <c:pt idx="1">
                  <c:v>58.199999999999996</c:v>
                </c:pt>
                <c:pt idx="2">
                  <c:v>47.699999999999996</c:v>
                </c:pt>
                <c:pt idx="3">
                  <c:v>42.8</c:v>
                </c:pt>
                <c:pt idx="4">
                  <c:v>36.5</c:v>
                </c:pt>
                <c:pt idx="5">
                  <c:v>32.6</c:v>
                </c:pt>
                <c:pt idx="6">
                  <c:v>39.900000000000006</c:v>
                </c:pt>
              </c:numCache>
            </c:numRef>
          </c:val>
          <c:extLst>
            <c:ext xmlns:c16="http://schemas.microsoft.com/office/drawing/2014/chart" uri="{C3380CC4-5D6E-409C-BE32-E72D297353CC}">
              <c16:uniqueId val="{00000001-2DC9-4BE4-9269-C2C3B1326C55}"/>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secteur d'activité</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'Q7_Tab 14'!$B$4</c:f>
              <c:strCache>
                <c:ptCount val="1"/>
                <c:pt idx="0">
                  <c:v>Oui</c:v>
                </c:pt>
              </c:strCache>
            </c:strRef>
          </c:tx>
          <c:spPr>
            <a:solidFill>
              <a:schemeClr val="accent1"/>
            </a:solidFill>
            <a:ln>
              <a:noFill/>
            </a:ln>
            <a:effectLst/>
          </c:spPr>
          <c:invertIfNegative val="0"/>
          <c:cat>
            <c:strRef>
              <c:f>'Q7_Tab 14'!$A$5:$A$21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'Q7_Tab 14'!$B$5:$B$21</c:f>
              <c:numCache>
                <c:formatCode>0.0</c:formatCode>
                <c:ptCount val="17"/>
                <c:pt idx="0">
                  <c:v>57.699999999999996</c:v>
                </c:pt>
                <c:pt idx="1">
                  <c:v>25.7</c:v>
                </c:pt>
                <c:pt idx="2">
                  <c:v>56.999999999999993</c:v>
                </c:pt>
                <c:pt idx="3">
                  <c:v>13.700000000000001</c:v>
                </c:pt>
                <c:pt idx="4">
                  <c:v>73</c:v>
                </c:pt>
                <c:pt idx="5">
                  <c:v>92.7</c:v>
                </c:pt>
                <c:pt idx="6">
                  <c:v>61.3</c:v>
                </c:pt>
                <c:pt idx="7">
                  <c:v>52</c:v>
                </c:pt>
                <c:pt idx="8">
                  <c:v>58.599999999999994</c:v>
                </c:pt>
                <c:pt idx="9">
                  <c:v>68.8</c:v>
                </c:pt>
                <c:pt idx="10">
                  <c:v>85.3</c:v>
                </c:pt>
                <c:pt idx="11">
                  <c:v>57.9</c:v>
                </c:pt>
                <c:pt idx="12">
                  <c:v>21.7</c:v>
                </c:pt>
                <c:pt idx="13">
                  <c:v>43.8</c:v>
                </c:pt>
                <c:pt idx="14">
                  <c:v>62.8</c:v>
                </c:pt>
                <c:pt idx="15">
                  <c:v>47.599999999999994</c:v>
                </c:pt>
                <c:pt idx="16">
                  <c:v>63.5</c:v>
                </c:pt>
              </c:numCache>
            </c:numRef>
          </c:val>
          <c:extLst>
            <c:ext xmlns:c16="http://schemas.microsoft.com/office/drawing/2014/chart" uri="{C3380CC4-5D6E-409C-BE32-E72D297353CC}">
              <c16:uniqueId val="{00000000-D37F-4499-92DF-129E41FB556B}"/>
            </c:ext>
          </c:extLst>
        </c:ser>
        <c:ser>
          <c:idx val="1"/>
          <c:order val="1"/>
          <c:tx>
            <c:strRef>
              <c:f>'Q7_Tab 14'!$C$4</c:f>
              <c:strCache>
                <c:ptCount val="1"/>
                <c:pt idx="0">
                  <c:v>Non</c:v>
                </c:pt>
              </c:strCache>
            </c:strRef>
          </c:tx>
          <c:spPr>
            <a:solidFill>
              <a:schemeClr val="accent2"/>
            </a:solidFill>
            <a:ln>
              <a:noFill/>
            </a:ln>
            <a:effectLst/>
          </c:spPr>
          <c:invertIfNegative val="0"/>
          <c:cat>
            <c:strRef>
              <c:f>'Q7_Tab 14'!$A$5:$A$21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'Q7_Tab 14'!$C$5:$C$21</c:f>
              <c:numCache>
                <c:formatCode>0.0</c:formatCode>
                <c:ptCount val="17"/>
                <c:pt idx="0">
                  <c:v>42.3</c:v>
                </c:pt>
                <c:pt idx="1">
                  <c:v>74.3</c:v>
                </c:pt>
                <c:pt idx="2">
                  <c:v>43</c:v>
                </c:pt>
                <c:pt idx="3">
                  <c:v>86.3</c:v>
                </c:pt>
                <c:pt idx="4">
                  <c:v>27</c:v>
                </c:pt>
                <c:pt idx="5">
                  <c:v>7.3</c:v>
                </c:pt>
                <c:pt idx="6">
                  <c:v>38.700000000000003</c:v>
                </c:pt>
                <c:pt idx="7">
                  <c:v>48</c:v>
                </c:pt>
                <c:pt idx="8">
                  <c:v>41.4</c:v>
                </c:pt>
                <c:pt idx="9">
                  <c:v>31.2</c:v>
                </c:pt>
                <c:pt idx="10">
                  <c:v>14.7</c:v>
                </c:pt>
                <c:pt idx="11">
                  <c:v>42.1</c:v>
                </c:pt>
                <c:pt idx="12">
                  <c:v>78.3</c:v>
                </c:pt>
                <c:pt idx="13">
                  <c:v>56.2</c:v>
                </c:pt>
                <c:pt idx="14">
                  <c:v>37.200000000000003</c:v>
                </c:pt>
                <c:pt idx="15">
                  <c:v>52.400000000000006</c:v>
                </c:pt>
                <c:pt idx="16">
                  <c:v>36.5</c:v>
                </c:pt>
              </c:numCache>
            </c:numRef>
          </c:val>
          <c:extLst>
            <c:ext xmlns:c16="http://schemas.microsoft.com/office/drawing/2014/chart" uri="{C3380CC4-5D6E-409C-BE32-E72D297353CC}">
              <c16:uniqueId val="{00000001-D37F-4499-92DF-129E41FB556B}"/>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pour garde d'enfants ou fragilité, par taille d'entreprise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Q8_Tab16!$A$5</c:f>
              <c:strCache>
                <c:ptCount val="1"/>
                <c:pt idx="0">
                  <c:v>Oui</c:v>
                </c:pt>
              </c:strCache>
            </c:strRef>
          </c:tx>
          <c:spPr>
            <a:solidFill>
              <a:schemeClr val="accent1"/>
            </a:solidFill>
            <a:ln>
              <a:noFill/>
            </a:ln>
            <a:effectLst/>
          </c:spPr>
          <c:invertIfNegative val="0"/>
          <c:cat>
            <c:strRef>
              <c:f>Q8_Tab16!$B$4:$H$4</c:f>
              <c:strCache>
                <c:ptCount val="7"/>
                <c:pt idx="0">
                  <c:v>Total</c:v>
                </c:pt>
                <c:pt idx="1">
                  <c:v>10 - 19</c:v>
                </c:pt>
                <c:pt idx="2">
                  <c:v>20 - 49</c:v>
                </c:pt>
                <c:pt idx="3">
                  <c:v>50 - 99</c:v>
                </c:pt>
                <c:pt idx="4">
                  <c:v>100 - 249</c:v>
                </c:pt>
                <c:pt idx="5">
                  <c:v>250 - 499</c:v>
                </c:pt>
                <c:pt idx="6">
                  <c:v>500 et +</c:v>
                </c:pt>
              </c:strCache>
            </c:strRef>
          </c:cat>
          <c:val>
            <c:numRef>
              <c:f>Q8_Tab16!$B$5:$H$5</c:f>
              <c:numCache>
                <c:formatCode>0.0</c:formatCode>
                <c:ptCount val="7"/>
                <c:pt idx="0">
                  <c:v>68</c:v>
                </c:pt>
                <c:pt idx="1">
                  <c:v>32.1</c:v>
                </c:pt>
                <c:pt idx="2">
                  <c:v>48.6</c:v>
                </c:pt>
                <c:pt idx="3">
                  <c:v>57.999999999999993</c:v>
                </c:pt>
                <c:pt idx="4">
                  <c:v>71.599999999999994</c:v>
                </c:pt>
                <c:pt idx="5">
                  <c:v>77.2</c:v>
                </c:pt>
                <c:pt idx="6">
                  <c:v>80.400000000000006</c:v>
                </c:pt>
              </c:numCache>
            </c:numRef>
          </c:val>
          <c:extLst>
            <c:ext xmlns:c16="http://schemas.microsoft.com/office/drawing/2014/chart" uri="{C3380CC4-5D6E-409C-BE32-E72D297353CC}">
              <c16:uniqueId val="{00000000-FB9E-44BA-99B5-1420E9E04950}"/>
            </c:ext>
          </c:extLst>
        </c:ser>
        <c:ser>
          <c:idx val="1"/>
          <c:order val="1"/>
          <c:tx>
            <c:strRef>
              <c:f>Q8_Tab16!$A$6</c:f>
              <c:strCache>
                <c:ptCount val="1"/>
                <c:pt idx="0">
                  <c:v>Non</c:v>
                </c:pt>
              </c:strCache>
            </c:strRef>
          </c:tx>
          <c:spPr>
            <a:solidFill>
              <a:schemeClr val="accent2"/>
            </a:solidFill>
            <a:ln>
              <a:noFill/>
            </a:ln>
            <a:effectLst/>
          </c:spPr>
          <c:invertIfNegative val="0"/>
          <c:cat>
            <c:strRef>
              <c:f>Q8_Tab16!$B$4:$H$4</c:f>
              <c:strCache>
                <c:ptCount val="7"/>
                <c:pt idx="0">
                  <c:v>Total</c:v>
                </c:pt>
                <c:pt idx="1">
                  <c:v>10 - 19</c:v>
                </c:pt>
                <c:pt idx="2">
                  <c:v>20 - 49</c:v>
                </c:pt>
                <c:pt idx="3">
                  <c:v>50 - 99</c:v>
                </c:pt>
                <c:pt idx="4">
                  <c:v>100 - 249</c:v>
                </c:pt>
                <c:pt idx="5">
                  <c:v>250 - 499</c:v>
                </c:pt>
                <c:pt idx="6">
                  <c:v>500 et +</c:v>
                </c:pt>
              </c:strCache>
            </c:strRef>
          </c:cat>
          <c:val>
            <c:numRef>
              <c:f>Q8_Tab16!$B$6:$H$6</c:f>
              <c:numCache>
                <c:formatCode>0.0</c:formatCode>
                <c:ptCount val="7"/>
                <c:pt idx="0">
                  <c:v>32</c:v>
                </c:pt>
                <c:pt idx="1">
                  <c:v>67.900000000000006</c:v>
                </c:pt>
                <c:pt idx="2">
                  <c:v>51.4</c:v>
                </c:pt>
                <c:pt idx="3">
                  <c:v>42</c:v>
                </c:pt>
                <c:pt idx="4">
                  <c:v>28.4</c:v>
                </c:pt>
                <c:pt idx="5">
                  <c:v>22.8</c:v>
                </c:pt>
                <c:pt idx="6">
                  <c:v>19.600000000000001</c:v>
                </c:pt>
              </c:numCache>
            </c:numRef>
          </c:val>
          <c:extLst>
            <c:ext xmlns:c16="http://schemas.microsoft.com/office/drawing/2014/chart" uri="{C3380CC4-5D6E-409C-BE32-E72D297353CC}">
              <c16:uniqueId val="{00000001-FB9E-44BA-99B5-1420E9E04950}"/>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pour garde d'enfants ou fragilité, par secteur d'activité</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'Q8_Tab 17'!$B$4</c:f>
              <c:strCache>
                <c:ptCount val="1"/>
                <c:pt idx="0">
                  <c:v>Oui</c:v>
                </c:pt>
              </c:strCache>
            </c:strRef>
          </c:tx>
          <c:spPr>
            <a:solidFill>
              <a:schemeClr val="accent1"/>
            </a:solidFill>
            <a:ln>
              <a:noFill/>
            </a:ln>
            <a:effectLst/>
          </c:spPr>
          <c:invertIfNegative val="0"/>
          <c:cat>
            <c:strRef>
              <c:f>'Q8_Tab 17'!$A$5:$A$21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17'!$B$5:$B$21</c:f>
              <c:numCache>
                <c:formatCode>0.0</c:formatCode>
                <c:ptCount val="17"/>
                <c:pt idx="0">
                  <c:v>68</c:v>
                </c:pt>
                <c:pt idx="1">
                  <c:v>76.599999999999994</c:v>
                </c:pt>
                <c:pt idx="2">
                  <c:v>80.900000000000006</c:v>
                </c:pt>
                <c:pt idx="3">
                  <c:v>0</c:v>
                </c:pt>
                <c:pt idx="4">
                  <c:v>83.8</c:v>
                </c:pt>
                <c:pt idx="5">
                  <c:v>74.099999999999994</c:v>
                </c:pt>
                <c:pt idx="6">
                  <c:v>70.899999999999991</c:v>
                </c:pt>
                <c:pt idx="7">
                  <c:v>76.2</c:v>
                </c:pt>
                <c:pt idx="8">
                  <c:v>73.5</c:v>
                </c:pt>
                <c:pt idx="9">
                  <c:v>79.900000000000006</c:v>
                </c:pt>
                <c:pt idx="10">
                  <c:v>28.799999999999997</c:v>
                </c:pt>
                <c:pt idx="11">
                  <c:v>47.4</c:v>
                </c:pt>
                <c:pt idx="12">
                  <c:v>81.8</c:v>
                </c:pt>
                <c:pt idx="13">
                  <c:v>87.9</c:v>
                </c:pt>
                <c:pt idx="14">
                  <c:v>57.4</c:v>
                </c:pt>
                <c:pt idx="15">
                  <c:v>80.900000000000006</c:v>
                </c:pt>
                <c:pt idx="16">
                  <c:v>54.800000000000004</c:v>
                </c:pt>
              </c:numCache>
            </c:numRef>
          </c:val>
          <c:extLst>
            <c:ext xmlns:c16="http://schemas.microsoft.com/office/drawing/2014/chart" uri="{C3380CC4-5D6E-409C-BE32-E72D297353CC}">
              <c16:uniqueId val="{00000000-6770-4602-BE80-B5C15E9CE666}"/>
            </c:ext>
          </c:extLst>
        </c:ser>
        <c:ser>
          <c:idx val="1"/>
          <c:order val="1"/>
          <c:tx>
            <c:strRef>
              <c:f>'Q8_Tab 17'!$C$4</c:f>
              <c:strCache>
                <c:ptCount val="1"/>
                <c:pt idx="0">
                  <c:v>Non</c:v>
                </c:pt>
              </c:strCache>
            </c:strRef>
          </c:tx>
          <c:spPr>
            <a:solidFill>
              <a:schemeClr val="accent2"/>
            </a:solidFill>
            <a:ln>
              <a:noFill/>
            </a:ln>
            <a:effectLst/>
          </c:spPr>
          <c:invertIfNegative val="0"/>
          <c:cat>
            <c:strRef>
              <c:f>'Q8_Tab 17'!$A$5:$A$21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17'!$C$5:$C$21</c:f>
              <c:numCache>
                <c:formatCode>0.0</c:formatCode>
                <c:ptCount val="17"/>
                <c:pt idx="0">
                  <c:v>32</c:v>
                </c:pt>
                <c:pt idx="1">
                  <c:v>23.400000000000002</c:v>
                </c:pt>
                <c:pt idx="2">
                  <c:v>19.100000000000001</c:v>
                </c:pt>
                <c:pt idx="3">
                  <c:v>0</c:v>
                </c:pt>
                <c:pt idx="4">
                  <c:v>16.2</c:v>
                </c:pt>
                <c:pt idx="5">
                  <c:v>25.900000000000002</c:v>
                </c:pt>
                <c:pt idx="6">
                  <c:v>29.099999999999998</c:v>
                </c:pt>
                <c:pt idx="7">
                  <c:v>23.799999999999997</c:v>
                </c:pt>
                <c:pt idx="8">
                  <c:v>26.5</c:v>
                </c:pt>
                <c:pt idx="9">
                  <c:v>20.100000000000001</c:v>
                </c:pt>
                <c:pt idx="10">
                  <c:v>71.2</c:v>
                </c:pt>
                <c:pt idx="11">
                  <c:v>52.6</c:v>
                </c:pt>
                <c:pt idx="12">
                  <c:v>18.2</c:v>
                </c:pt>
                <c:pt idx="13">
                  <c:v>12.1</c:v>
                </c:pt>
                <c:pt idx="14">
                  <c:v>42.6</c:v>
                </c:pt>
                <c:pt idx="15">
                  <c:v>19.100000000000001</c:v>
                </c:pt>
                <c:pt idx="16">
                  <c:v>45.2</c:v>
                </c:pt>
              </c:numCache>
            </c:numRef>
          </c:val>
          <c:extLst>
            <c:ext xmlns:c16="http://schemas.microsoft.com/office/drawing/2014/chart" uri="{C3380CC4-5D6E-409C-BE32-E72D297353CC}">
              <c16:uniqueId val="{00000001-6770-4602-BE80-B5C15E9CE666}"/>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B8-4E6D-99D6-36E70ECF07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B8-4E6D-99D6-36E70ECF07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B8-4E6D-99D6-36E70ECF07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1B8-4E6D-99D6-36E70ECF071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1B8-4E6D-99D6-36E70ECF0716}"/>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'Q11_Tab 18'!$A$4:$A$8</c:f>
              <c:strCache>
                <c:ptCount val="5"/>
                <c:pt idx="0">
                  <c:v>Réduction des débouchés / commandes</c:v>
                </c:pt>
                <c:pt idx="1">
                  <c:v>Fermeture obligatoire dans le cadre des restrictions de certaines activités</c:v>
                </c:pt>
                <c:pt idx="2">
                  <c:v>Impossibilité à maintenir l'activité en assurant la sécurité des salariés</c:v>
                </c:pt>
                <c:pt idx="3">
                  <c:v>Salariés en situation de garde d'enfants ou considérés comme fragiles/vulnérables</c:v>
                </c:pt>
                <c:pt idx="4">
                  <c:v>Autre(s)</c:v>
                </c:pt>
              </c:strCache>
            </c:strRef>
          </c:cat>
          <c:val>
            <c:numRef>
              <c:f>'Q11_Tab 18'!$B$4:$B$8</c:f>
              <c:numCache>
                <c:formatCode>0.0</c:formatCode>
                <c:ptCount val="5"/>
                <c:pt idx="0">
                  <c:v>39.5</c:v>
                </c:pt>
                <c:pt idx="1">
                  <c:v>11.899999999999999</c:v>
                </c:pt>
                <c:pt idx="2">
                  <c:v>3.3000000000000003</c:v>
                </c:pt>
                <c:pt idx="3">
                  <c:v>38.4</c:v>
                </c:pt>
                <c:pt idx="4">
                  <c:v>6.8000000000000007</c:v>
                </c:pt>
              </c:numCache>
            </c:numRef>
          </c:val>
          <c:extLst>
            <c:ext xmlns:c16="http://schemas.microsoft.com/office/drawing/2014/chart" uri="{C3380CC4-5D6E-409C-BE32-E72D297353CC}">
              <c16:uniqueId val="{0000000A-A1B8-4E6D-99D6-36E70ECF0716}"/>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par taille d'entreprises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'Q11_Tab 19'!$A$5</c:f>
              <c:strCache>
                <c:ptCount val="1"/>
                <c:pt idx="0">
                  <c:v>Réduction des débouchés / commandes</c:v>
                </c:pt>
              </c:strCache>
            </c:strRef>
          </c:tx>
          <c:spPr>
            <a:solidFill>
              <a:schemeClr val="accent1"/>
            </a:solidFill>
            <a:ln>
              <a:noFill/>
            </a:ln>
            <a:effectLst/>
          </c:spPr>
          <c:invertIfNegative val="0"/>
          <c:cat>
            <c:strRef>
              <c:f>'Q11_Tab 19'!$B$4:$H$4</c:f>
              <c:strCache>
                <c:ptCount val="7"/>
                <c:pt idx="0">
                  <c:v>Total</c:v>
                </c:pt>
                <c:pt idx="1">
                  <c:v>10 - 19</c:v>
                </c:pt>
                <c:pt idx="2">
                  <c:v>20 - 49</c:v>
                </c:pt>
                <c:pt idx="3">
                  <c:v>50 - 99</c:v>
                </c:pt>
                <c:pt idx="4">
                  <c:v>100 - 249</c:v>
                </c:pt>
                <c:pt idx="5">
                  <c:v>250 - 499</c:v>
                </c:pt>
                <c:pt idx="6">
                  <c:v>500 et +</c:v>
                </c:pt>
              </c:strCache>
            </c:strRef>
          </c:cat>
          <c:val>
            <c:numRef>
              <c:f>'Q11_Tab 19'!$B$5:$H$5</c:f>
              <c:numCache>
                <c:formatCode>0.0</c:formatCode>
                <c:ptCount val="7"/>
                <c:pt idx="0">
                  <c:v>39.5</c:v>
                </c:pt>
                <c:pt idx="1">
                  <c:v>48.8</c:v>
                </c:pt>
                <c:pt idx="2">
                  <c:v>44.4</c:v>
                </c:pt>
                <c:pt idx="3">
                  <c:v>42.699999999999996</c:v>
                </c:pt>
                <c:pt idx="4">
                  <c:v>39.4</c:v>
                </c:pt>
                <c:pt idx="5">
                  <c:v>34.5</c:v>
                </c:pt>
                <c:pt idx="6">
                  <c:v>36.5</c:v>
                </c:pt>
              </c:numCache>
            </c:numRef>
          </c:val>
          <c:extLst>
            <c:ext xmlns:c16="http://schemas.microsoft.com/office/drawing/2014/chart" uri="{C3380CC4-5D6E-409C-BE32-E72D297353CC}">
              <c16:uniqueId val="{00000000-9A0A-489F-A5EF-FF4B5A19D830}"/>
            </c:ext>
          </c:extLst>
        </c:ser>
        <c:ser>
          <c:idx val="1"/>
          <c:order val="1"/>
          <c:tx>
            <c:strRef>
              <c:f>'Q11_Tab 19'!$A$6</c:f>
              <c:strCache>
                <c:ptCount val="1"/>
                <c:pt idx="0">
                  <c:v>Fermeture obligatoire dans le cadre des restrictions de certaines activités</c:v>
                </c:pt>
              </c:strCache>
            </c:strRef>
          </c:tx>
          <c:spPr>
            <a:solidFill>
              <a:schemeClr val="accent2"/>
            </a:solidFill>
            <a:ln>
              <a:noFill/>
            </a:ln>
            <a:effectLst/>
          </c:spPr>
          <c:invertIfNegative val="0"/>
          <c:cat>
            <c:strRef>
              <c:f>'Q11_Tab 19'!$B$4:$H$4</c:f>
              <c:strCache>
                <c:ptCount val="7"/>
                <c:pt idx="0">
                  <c:v>Total</c:v>
                </c:pt>
                <c:pt idx="1">
                  <c:v>10 - 19</c:v>
                </c:pt>
                <c:pt idx="2">
                  <c:v>20 - 49</c:v>
                </c:pt>
                <c:pt idx="3">
                  <c:v>50 - 99</c:v>
                </c:pt>
                <c:pt idx="4">
                  <c:v>100 - 249</c:v>
                </c:pt>
                <c:pt idx="5">
                  <c:v>250 - 499</c:v>
                </c:pt>
                <c:pt idx="6">
                  <c:v>500 et +</c:v>
                </c:pt>
              </c:strCache>
            </c:strRef>
          </c:cat>
          <c:val>
            <c:numRef>
              <c:f>'Q11_Tab 19'!$B$6:$H$6</c:f>
              <c:numCache>
                <c:formatCode>0.0</c:formatCode>
                <c:ptCount val="7"/>
                <c:pt idx="0">
                  <c:v>11.899999999999999</c:v>
                </c:pt>
                <c:pt idx="1">
                  <c:v>18</c:v>
                </c:pt>
                <c:pt idx="2">
                  <c:v>16.2</c:v>
                </c:pt>
                <c:pt idx="3">
                  <c:v>13.900000000000002</c:v>
                </c:pt>
                <c:pt idx="4">
                  <c:v>10.9</c:v>
                </c:pt>
                <c:pt idx="5">
                  <c:v>9.1</c:v>
                </c:pt>
                <c:pt idx="6">
                  <c:v>9.7000000000000011</c:v>
                </c:pt>
              </c:numCache>
            </c:numRef>
          </c:val>
          <c:extLst>
            <c:ext xmlns:c16="http://schemas.microsoft.com/office/drawing/2014/chart" uri="{C3380CC4-5D6E-409C-BE32-E72D297353CC}">
              <c16:uniqueId val="{00000001-9A0A-489F-A5EF-FF4B5A19D830}"/>
            </c:ext>
          </c:extLst>
        </c:ser>
        <c:ser>
          <c:idx val="2"/>
          <c:order val="2"/>
          <c:tx>
            <c:strRef>
              <c:f>'Q11_Tab 19'!$A$7</c:f>
              <c:strCache>
                <c:ptCount val="1"/>
                <c:pt idx="0">
                  <c:v>Impossibilité à maintenir l'activité en assurant la sécurité des salariés</c:v>
                </c:pt>
              </c:strCache>
            </c:strRef>
          </c:tx>
          <c:spPr>
            <a:solidFill>
              <a:schemeClr val="accent3"/>
            </a:solidFill>
            <a:ln>
              <a:noFill/>
            </a:ln>
            <a:effectLst/>
          </c:spPr>
          <c:invertIfNegative val="0"/>
          <c:cat>
            <c:strRef>
              <c:f>'Q11_Tab 19'!$B$4:$H$4</c:f>
              <c:strCache>
                <c:ptCount val="7"/>
                <c:pt idx="0">
                  <c:v>Total</c:v>
                </c:pt>
                <c:pt idx="1">
                  <c:v>10 - 19</c:v>
                </c:pt>
                <c:pt idx="2">
                  <c:v>20 - 49</c:v>
                </c:pt>
                <c:pt idx="3">
                  <c:v>50 - 99</c:v>
                </c:pt>
                <c:pt idx="4">
                  <c:v>100 - 249</c:v>
                </c:pt>
                <c:pt idx="5">
                  <c:v>250 - 499</c:v>
                </c:pt>
                <c:pt idx="6">
                  <c:v>500 et +</c:v>
                </c:pt>
              </c:strCache>
            </c:strRef>
          </c:cat>
          <c:val>
            <c:numRef>
              <c:f>'Q11_Tab 19'!$B$7:$H$7</c:f>
              <c:numCache>
                <c:formatCode>0.0</c:formatCode>
                <c:ptCount val="7"/>
                <c:pt idx="0">
                  <c:v>3.3000000000000003</c:v>
                </c:pt>
                <c:pt idx="1">
                  <c:v>4.1000000000000005</c:v>
                </c:pt>
                <c:pt idx="2">
                  <c:v>2.7</c:v>
                </c:pt>
                <c:pt idx="3">
                  <c:v>2.5</c:v>
                </c:pt>
                <c:pt idx="4">
                  <c:v>2.5</c:v>
                </c:pt>
                <c:pt idx="5">
                  <c:v>3</c:v>
                </c:pt>
                <c:pt idx="6">
                  <c:v>4.3</c:v>
                </c:pt>
              </c:numCache>
            </c:numRef>
          </c:val>
          <c:extLst>
            <c:ext xmlns:c16="http://schemas.microsoft.com/office/drawing/2014/chart" uri="{C3380CC4-5D6E-409C-BE32-E72D297353CC}">
              <c16:uniqueId val="{00000002-9A0A-489F-A5EF-FF4B5A19D830}"/>
            </c:ext>
          </c:extLst>
        </c:ser>
        <c:ser>
          <c:idx val="3"/>
          <c:order val="3"/>
          <c:tx>
            <c:strRef>
              <c:f>'Q11_Tab 19'!$A$8</c:f>
              <c:strCache>
                <c:ptCount val="1"/>
                <c:pt idx="0">
                  <c:v>Salariés en situation de garde d'enfants ou considérés comme fragiles/vulnérables</c:v>
                </c:pt>
              </c:strCache>
            </c:strRef>
          </c:tx>
          <c:spPr>
            <a:solidFill>
              <a:schemeClr val="accent4"/>
            </a:solidFill>
            <a:ln>
              <a:noFill/>
            </a:ln>
            <a:effectLst/>
          </c:spPr>
          <c:invertIfNegative val="0"/>
          <c:cat>
            <c:strRef>
              <c:f>'Q11_Tab 19'!$B$4:$H$4</c:f>
              <c:strCache>
                <c:ptCount val="7"/>
                <c:pt idx="0">
                  <c:v>Total</c:v>
                </c:pt>
                <c:pt idx="1">
                  <c:v>10 - 19</c:v>
                </c:pt>
                <c:pt idx="2">
                  <c:v>20 - 49</c:v>
                </c:pt>
                <c:pt idx="3">
                  <c:v>50 - 99</c:v>
                </c:pt>
                <c:pt idx="4">
                  <c:v>100 - 249</c:v>
                </c:pt>
                <c:pt idx="5">
                  <c:v>250 - 499</c:v>
                </c:pt>
                <c:pt idx="6">
                  <c:v>500 et +</c:v>
                </c:pt>
              </c:strCache>
            </c:strRef>
          </c:cat>
          <c:val>
            <c:numRef>
              <c:f>'Q11_Tab 19'!$B$8:$H$8</c:f>
              <c:numCache>
                <c:formatCode>0.0</c:formatCode>
                <c:ptCount val="7"/>
                <c:pt idx="0">
                  <c:v>38.4</c:v>
                </c:pt>
                <c:pt idx="1">
                  <c:v>20.9</c:v>
                </c:pt>
                <c:pt idx="2">
                  <c:v>30.2</c:v>
                </c:pt>
                <c:pt idx="3">
                  <c:v>35.6</c:v>
                </c:pt>
                <c:pt idx="4">
                  <c:v>40.1</c:v>
                </c:pt>
                <c:pt idx="5">
                  <c:v>47.3</c:v>
                </c:pt>
                <c:pt idx="6">
                  <c:v>42.4</c:v>
                </c:pt>
              </c:numCache>
            </c:numRef>
          </c:val>
          <c:extLst>
            <c:ext xmlns:c16="http://schemas.microsoft.com/office/drawing/2014/chart" uri="{C3380CC4-5D6E-409C-BE32-E72D297353CC}">
              <c16:uniqueId val="{00000003-9A0A-489F-A5EF-FF4B5A19D830}"/>
            </c:ext>
          </c:extLst>
        </c:ser>
        <c:ser>
          <c:idx val="4"/>
          <c:order val="4"/>
          <c:tx>
            <c:strRef>
              <c:f>'Q11_Tab 19'!$A$9</c:f>
              <c:strCache>
                <c:ptCount val="1"/>
                <c:pt idx="0">
                  <c:v>Autre(s)</c:v>
                </c:pt>
              </c:strCache>
            </c:strRef>
          </c:tx>
          <c:spPr>
            <a:solidFill>
              <a:schemeClr val="accent5"/>
            </a:solidFill>
            <a:ln>
              <a:noFill/>
            </a:ln>
            <a:effectLst/>
          </c:spPr>
          <c:invertIfNegative val="0"/>
          <c:cat>
            <c:strRef>
              <c:f>'Q11_Tab 19'!$B$4:$H$4</c:f>
              <c:strCache>
                <c:ptCount val="7"/>
                <c:pt idx="0">
                  <c:v>Total</c:v>
                </c:pt>
                <c:pt idx="1">
                  <c:v>10 - 19</c:v>
                </c:pt>
                <c:pt idx="2">
                  <c:v>20 - 49</c:v>
                </c:pt>
                <c:pt idx="3">
                  <c:v>50 - 99</c:v>
                </c:pt>
                <c:pt idx="4">
                  <c:v>100 - 249</c:v>
                </c:pt>
                <c:pt idx="5">
                  <c:v>250 - 499</c:v>
                </c:pt>
                <c:pt idx="6">
                  <c:v>500 et +</c:v>
                </c:pt>
              </c:strCache>
            </c:strRef>
          </c:cat>
          <c:val>
            <c:numRef>
              <c:f>'Q11_Tab 19'!$B$9:$H$9</c:f>
              <c:numCache>
                <c:formatCode>0.0</c:formatCode>
                <c:ptCount val="7"/>
                <c:pt idx="0">
                  <c:v>6.8000000000000007</c:v>
                </c:pt>
                <c:pt idx="1">
                  <c:v>8.2000000000000011</c:v>
                </c:pt>
                <c:pt idx="2">
                  <c:v>6.5</c:v>
                </c:pt>
                <c:pt idx="3">
                  <c:v>5.3</c:v>
                </c:pt>
                <c:pt idx="4">
                  <c:v>7.1</c:v>
                </c:pt>
                <c:pt idx="5">
                  <c:v>6.1</c:v>
                </c:pt>
                <c:pt idx="6">
                  <c:v>7.1999999999999993</c:v>
                </c:pt>
              </c:numCache>
            </c:numRef>
          </c:val>
          <c:extLst>
            <c:ext xmlns:c16="http://schemas.microsoft.com/office/drawing/2014/chart" uri="{C3380CC4-5D6E-409C-BE32-E72D297353CC}">
              <c16:uniqueId val="{00000000-7BCD-43E1-82BE-6E6D43352628}"/>
            </c:ext>
          </c:extLst>
        </c:ser>
        <c:dLbls>
          <c:showLegendKey val="0"/>
          <c:showVal val="0"/>
          <c:showCatName val="0"/>
          <c:showSerName val="0"/>
          <c:showPercent val="0"/>
          <c:showBubbleSize val="0"/>
        </c:dLbls>
        <c:gapWidth val="219"/>
        <c:overlap val="100"/>
        <c:axId val="739447040"/>
        <c:axId val="739440480"/>
      </c:barChart>
      <c:catAx>
        <c:axId val="73944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9440480"/>
        <c:crosses val="autoZero"/>
        <c:auto val="1"/>
        <c:lblAlgn val="ctr"/>
        <c:lblOffset val="100"/>
        <c:noMultiLvlLbl val="0"/>
      </c:catAx>
      <c:valAx>
        <c:axId val="73944048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7040"/>
        <c:crosses val="autoZero"/>
        <c:crossBetween val="between"/>
      </c:valAx>
      <c:spPr>
        <a:noFill/>
        <a:ln>
          <a:noFill/>
        </a:ln>
        <a:effectLst/>
      </c:spPr>
    </c:plotArea>
    <c:legend>
      <c:legendPos val="b"/>
      <c:layout>
        <c:manualLayout>
          <c:xMode val="edge"/>
          <c:yMode val="edge"/>
          <c:x val="8.5571872831977328E-2"/>
          <c:y val="0.75664086293010846"/>
          <c:w val="0.51008873428714196"/>
          <c:h val="0.2433591370698915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'Q11_Tab 20'!$B$5</c:f>
              <c:strCache>
                <c:ptCount val="1"/>
                <c:pt idx="0">
                  <c:v>Réduction des débouchés / commandes</c:v>
                </c:pt>
              </c:strCache>
            </c:strRef>
          </c:tx>
          <c:spPr>
            <a:solidFill>
              <a:schemeClr val="accent1"/>
            </a:solidFill>
            <a:ln>
              <a:noFill/>
            </a:ln>
            <a:effectLst/>
          </c:spPr>
          <c:invertIfNegative val="0"/>
          <c:cat>
            <c:strRef>
              <c:f>'Q11_Tab 20'!$A$6:$A$22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'Q11_Tab 20'!$B$6:$B$22</c:f>
              <c:numCache>
                <c:formatCode>0.0</c:formatCode>
                <c:ptCount val="17"/>
                <c:pt idx="0">
                  <c:v>39.5</c:v>
                </c:pt>
                <c:pt idx="1">
                  <c:v>33.700000000000003</c:v>
                </c:pt>
                <c:pt idx="2">
                  <c:v>28.9</c:v>
                </c:pt>
                <c:pt idx="3">
                  <c:v>0</c:v>
                </c:pt>
                <c:pt idx="4">
                  <c:v>47.8</c:v>
                </c:pt>
                <c:pt idx="5">
                  <c:v>49.9</c:v>
                </c:pt>
                <c:pt idx="6">
                  <c:v>60.5</c:v>
                </c:pt>
                <c:pt idx="7">
                  <c:v>27.3</c:v>
                </c:pt>
                <c:pt idx="8">
                  <c:v>31.4</c:v>
                </c:pt>
                <c:pt idx="9">
                  <c:v>48.6</c:v>
                </c:pt>
                <c:pt idx="10">
                  <c:v>37.6</c:v>
                </c:pt>
                <c:pt idx="11">
                  <c:v>69</c:v>
                </c:pt>
                <c:pt idx="12">
                  <c:v>20.5</c:v>
                </c:pt>
                <c:pt idx="13">
                  <c:v>22.7</c:v>
                </c:pt>
                <c:pt idx="14">
                  <c:v>50.6</c:v>
                </c:pt>
                <c:pt idx="15">
                  <c:v>16.900000000000002</c:v>
                </c:pt>
                <c:pt idx="16">
                  <c:v>19.600000000000001</c:v>
                </c:pt>
              </c:numCache>
            </c:numRef>
          </c:val>
          <c:extLst>
            <c:ext xmlns:c16="http://schemas.microsoft.com/office/drawing/2014/chart" uri="{C3380CC4-5D6E-409C-BE32-E72D297353CC}">
              <c16:uniqueId val="{00000000-24AB-40C8-837F-806698420C42}"/>
            </c:ext>
          </c:extLst>
        </c:ser>
        <c:ser>
          <c:idx val="1"/>
          <c:order val="1"/>
          <c:tx>
            <c:strRef>
              <c:f>'Q11_Tab 20'!$C$5</c:f>
              <c:strCache>
                <c:ptCount val="1"/>
                <c:pt idx="0">
                  <c:v>Fermeture obligatoire dans le cadre des restrictions de certaines activités</c:v>
                </c:pt>
              </c:strCache>
            </c:strRef>
          </c:tx>
          <c:spPr>
            <a:solidFill>
              <a:schemeClr val="accent2"/>
            </a:solidFill>
            <a:ln>
              <a:noFill/>
            </a:ln>
            <a:effectLst/>
          </c:spPr>
          <c:invertIfNegative val="0"/>
          <c:cat>
            <c:strRef>
              <c:f>'Q11_Tab 20'!$A$6:$A$22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'Q11_Tab 20'!$C$6:$C$22</c:f>
              <c:numCache>
                <c:formatCode>0.0</c:formatCode>
                <c:ptCount val="17"/>
                <c:pt idx="0">
                  <c:v>11.899999999999999</c:v>
                </c:pt>
                <c:pt idx="1">
                  <c:v>0</c:v>
                </c:pt>
                <c:pt idx="2">
                  <c:v>4.5999999999999996</c:v>
                </c:pt>
                <c:pt idx="3">
                  <c:v>0</c:v>
                </c:pt>
                <c:pt idx="4">
                  <c:v>2.1999999999999997</c:v>
                </c:pt>
                <c:pt idx="5">
                  <c:v>0.3</c:v>
                </c:pt>
                <c:pt idx="6">
                  <c:v>2.4</c:v>
                </c:pt>
                <c:pt idx="7">
                  <c:v>6</c:v>
                </c:pt>
                <c:pt idx="8">
                  <c:v>4.3</c:v>
                </c:pt>
                <c:pt idx="9">
                  <c:v>8.6</c:v>
                </c:pt>
                <c:pt idx="10">
                  <c:v>47.5</c:v>
                </c:pt>
                <c:pt idx="11">
                  <c:v>7.6</c:v>
                </c:pt>
                <c:pt idx="12">
                  <c:v>4.7</c:v>
                </c:pt>
                <c:pt idx="13">
                  <c:v>11.600000000000001</c:v>
                </c:pt>
                <c:pt idx="14">
                  <c:v>17</c:v>
                </c:pt>
                <c:pt idx="15">
                  <c:v>9.9</c:v>
                </c:pt>
                <c:pt idx="16">
                  <c:v>43.7</c:v>
                </c:pt>
              </c:numCache>
            </c:numRef>
          </c:val>
          <c:extLst>
            <c:ext xmlns:c16="http://schemas.microsoft.com/office/drawing/2014/chart" uri="{C3380CC4-5D6E-409C-BE32-E72D297353CC}">
              <c16:uniqueId val="{00000001-24AB-40C8-837F-806698420C42}"/>
            </c:ext>
          </c:extLst>
        </c:ser>
        <c:ser>
          <c:idx val="2"/>
          <c:order val="2"/>
          <c:tx>
            <c:strRef>
              <c:f>'Q11_Tab 20'!$D$5</c:f>
              <c:strCache>
                <c:ptCount val="1"/>
                <c:pt idx="0">
                  <c:v>Impossibilité à maintenir l'activité en assurant la sécurité des salariés</c:v>
                </c:pt>
              </c:strCache>
            </c:strRef>
          </c:tx>
          <c:spPr>
            <a:solidFill>
              <a:schemeClr val="accent3"/>
            </a:solidFill>
            <a:ln>
              <a:noFill/>
            </a:ln>
            <a:effectLst/>
          </c:spPr>
          <c:invertIfNegative val="0"/>
          <c:cat>
            <c:strRef>
              <c:f>'Q11_Tab 20'!$A$6:$A$22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'Q11_Tab 20'!$D$6:$D$22</c:f>
              <c:numCache>
                <c:formatCode>0.0</c:formatCode>
                <c:ptCount val="17"/>
                <c:pt idx="0">
                  <c:v>3.3000000000000003</c:v>
                </c:pt>
                <c:pt idx="1">
                  <c:v>2</c:v>
                </c:pt>
                <c:pt idx="2">
                  <c:v>1.4000000000000001</c:v>
                </c:pt>
                <c:pt idx="3">
                  <c:v>0</c:v>
                </c:pt>
                <c:pt idx="4">
                  <c:v>2.6</c:v>
                </c:pt>
                <c:pt idx="5">
                  <c:v>20.5</c:v>
                </c:pt>
                <c:pt idx="6">
                  <c:v>2.4</c:v>
                </c:pt>
                <c:pt idx="7">
                  <c:v>6</c:v>
                </c:pt>
                <c:pt idx="8">
                  <c:v>3.1</c:v>
                </c:pt>
                <c:pt idx="9">
                  <c:v>0.6</c:v>
                </c:pt>
                <c:pt idx="10">
                  <c:v>3.8</c:v>
                </c:pt>
                <c:pt idx="11">
                  <c:v>1.7000000000000002</c:v>
                </c:pt>
                <c:pt idx="12">
                  <c:v>1.4000000000000001</c:v>
                </c:pt>
                <c:pt idx="13">
                  <c:v>0</c:v>
                </c:pt>
                <c:pt idx="14">
                  <c:v>2.5</c:v>
                </c:pt>
                <c:pt idx="15">
                  <c:v>3</c:v>
                </c:pt>
                <c:pt idx="16">
                  <c:v>3.5999999999999996</c:v>
                </c:pt>
              </c:numCache>
            </c:numRef>
          </c:val>
          <c:extLst>
            <c:ext xmlns:c16="http://schemas.microsoft.com/office/drawing/2014/chart" uri="{C3380CC4-5D6E-409C-BE32-E72D297353CC}">
              <c16:uniqueId val="{00000002-24AB-40C8-837F-806698420C42}"/>
            </c:ext>
          </c:extLst>
        </c:ser>
        <c:ser>
          <c:idx val="3"/>
          <c:order val="3"/>
          <c:tx>
            <c:strRef>
              <c:f>'Q11_Tab 20'!$E$5</c:f>
              <c:strCache>
                <c:ptCount val="1"/>
                <c:pt idx="0">
                  <c:v>Salariés en situation de garde d'enfants ou considérés comme fragiles/vulnérables</c:v>
                </c:pt>
              </c:strCache>
            </c:strRef>
          </c:tx>
          <c:spPr>
            <a:solidFill>
              <a:schemeClr val="accent4"/>
            </a:solidFill>
            <a:ln>
              <a:noFill/>
            </a:ln>
            <a:effectLst/>
          </c:spPr>
          <c:invertIfNegative val="0"/>
          <c:cat>
            <c:strRef>
              <c:f>'Q11_Tab 20'!$A$6:$A$22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'Q11_Tab 20'!$E$6:$E$22</c:f>
              <c:numCache>
                <c:formatCode>0.0</c:formatCode>
                <c:ptCount val="17"/>
                <c:pt idx="0">
                  <c:v>38.4</c:v>
                </c:pt>
                <c:pt idx="1">
                  <c:v>49.4</c:v>
                </c:pt>
                <c:pt idx="2">
                  <c:v>64.400000000000006</c:v>
                </c:pt>
                <c:pt idx="3">
                  <c:v>0</c:v>
                </c:pt>
                <c:pt idx="4">
                  <c:v>33.900000000000006</c:v>
                </c:pt>
                <c:pt idx="5">
                  <c:v>23.599999999999998</c:v>
                </c:pt>
                <c:pt idx="6">
                  <c:v>29.7</c:v>
                </c:pt>
                <c:pt idx="7">
                  <c:v>48.199999999999996</c:v>
                </c:pt>
                <c:pt idx="8">
                  <c:v>51.9</c:v>
                </c:pt>
                <c:pt idx="9">
                  <c:v>37.799999999999997</c:v>
                </c:pt>
                <c:pt idx="10">
                  <c:v>4.2</c:v>
                </c:pt>
                <c:pt idx="11">
                  <c:v>17</c:v>
                </c:pt>
                <c:pt idx="12">
                  <c:v>69.8</c:v>
                </c:pt>
                <c:pt idx="13">
                  <c:v>60.3</c:v>
                </c:pt>
                <c:pt idx="14">
                  <c:v>23.200000000000003</c:v>
                </c:pt>
                <c:pt idx="15">
                  <c:v>65</c:v>
                </c:pt>
                <c:pt idx="16">
                  <c:v>26.400000000000002</c:v>
                </c:pt>
              </c:numCache>
            </c:numRef>
          </c:val>
          <c:extLst>
            <c:ext xmlns:c16="http://schemas.microsoft.com/office/drawing/2014/chart" uri="{C3380CC4-5D6E-409C-BE32-E72D297353CC}">
              <c16:uniqueId val="{00000003-24AB-40C8-837F-806698420C42}"/>
            </c:ext>
          </c:extLst>
        </c:ser>
        <c:ser>
          <c:idx val="4"/>
          <c:order val="4"/>
          <c:tx>
            <c:strRef>
              <c:f>'Q11_Tab 20'!$F$5</c:f>
              <c:strCache>
                <c:ptCount val="1"/>
                <c:pt idx="0">
                  <c:v>Autre(s)</c:v>
                </c:pt>
              </c:strCache>
            </c:strRef>
          </c:tx>
          <c:spPr>
            <a:solidFill>
              <a:schemeClr val="accent5"/>
            </a:solidFill>
            <a:ln>
              <a:noFill/>
            </a:ln>
            <a:effectLst/>
          </c:spPr>
          <c:invertIfNegative val="0"/>
          <c:cat>
            <c:strRef>
              <c:f>'Q11_Tab 20'!$A$6:$A$22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'Q11_Tab 20'!$F$6:$F$22</c:f>
              <c:numCache>
                <c:formatCode>0.0</c:formatCode>
                <c:ptCount val="17"/>
                <c:pt idx="0">
                  <c:v>6.8000000000000007</c:v>
                </c:pt>
                <c:pt idx="1">
                  <c:v>14.899999999999999</c:v>
                </c:pt>
                <c:pt idx="2">
                  <c:v>0.70000000000000007</c:v>
                </c:pt>
                <c:pt idx="3">
                  <c:v>0</c:v>
                </c:pt>
                <c:pt idx="4">
                  <c:v>13.5</c:v>
                </c:pt>
                <c:pt idx="5">
                  <c:v>5.6000000000000005</c:v>
                </c:pt>
                <c:pt idx="6">
                  <c:v>4.9000000000000004</c:v>
                </c:pt>
                <c:pt idx="7">
                  <c:v>12.6</c:v>
                </c:pt>
                <c:pt idx="8">
                  <c:v>9.3000000000000007</c:v>
                </c:pt>
                <c:pt idx="9">
                  <c:v>4.3999999999999995</c:v>
                </c:pt>
                <c:pt idx="10">
                  <c:v>6.9</c:v>
                </c:pt>
                <c:pt idx="11">
                  <c:v>4.7</c:v>
                </c:pt>
                <c:pt idx="12">
                  <c:v>3.6999999999999997</c:v>
                </c:pt>
                <c:pt idx="13">
                  <c:v>0</c:v>
                </c:pt>
                <c:pt idx="14">
                  <c:v>6.7</c:v>
                </c:pt>
                <c:pt idx="15">
                  <c:v>5.3</c:v>
                </c:pt>
                <c:pt idx="16">
                  <c:v>6.6000000000000005</c:v>
                </c:pt>
              </c:numCache>
            </c:numRef>
          </c:val>
          <c:extLst>
            <c:ext xmlns:c16="http://schemas.microsoft.com/office/drawing/2014/chart" uri="{C3380CC4-5D6E-409C-BE32-E72D297353CC}">
              <c16:uniqueId val="{00000000-F838-47D9-B193-766A08A8EED4}"/>
            </c:ext>
          </c:extLst>
        </c:ser>
        <c:dLbls>
          <c:showLegendKey val="0"/>
          <c:showVal val="0"/>
          <c:showCatName val="0"/>
          <c:showSerName val="0"/>
          <c:showPercent val="0"/>
          <c:showBubbleSize val="0"/>
        </c:dLbls>
        <c:gapWidth val="150"/>
        <c:overlap val="100"/>
        <c:axId val="733912696"/>
        <c:axId val="664582968"/>
      </c:barChart>
      <c:catAx>
        <c:axId val="733912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82968"/>
        <c:crosses val="autoZero"/>
        <c:auto val="1"/>
        <c:lblAlgn val="ctr"/>
        <c:lblOffset val="100"/>
        <c:noMultiLvlLbl val="0"/>
      </c:catAx>
      <c:valAx>
        <c:axId val="66458296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3912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 à la formation pour les salariés</a:t>
            </a:r>
            <a:r>
              <a:rPr lang="fr-FR" baseline="0"/>
              <a:t> en </a:t>
            </a:r>
            <a:r>
              <a:rPr lang="fr-FR"/>
              <a:t>chômage partiel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8A-4D73-9644-30D2E1BFE42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8A-4D73-9644-30D2E1BFE42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8A-4D73-9644-30D2E1BFE42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8A-4D73-9644-30D2E1BFE42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98A-4D73-9644-30D2E1BFE424}"/>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Q12_Tab21!$A$5:$A$9</c:f>
              <c:strCache>
                <c:ptCount val="5"/>
                <c:pt idx="0">
                  <c:v>Oui, avec une subvention du FNE-Formation</c:v>
                </c:pt>
                <c:pt idx="1">
                  <c:v>Oui, sans subvention du FNE-Formation</c:v>
                </c:pt>
                <c:pt idx="2">
                  <c:v>Oui, mais je ne sais pas si c'est dans le cadre d'une subvention du FNE-Formation</c:v>
                </c:pt>
                <c:pt idx="3">
                  <c:v>Non</c:v>
                </c:pt>
                <c:pt idx="4">
                  <c:v>Ne sais pas</c:v>
                </c:pt>
              </c:strCache>
            </c:strRef>
          </c:cat>
          <c:val>
            <c:numRef>
              <c:f>Q12_Tab21!$B$5:$B$9</c:f>
              <c:numCache>
                <c:formatCode>0.0</c:formatCode>
                <c:ptCount val="5"/>
                <c:pt idx="0">
                  <c:v>8.4</c:v>
                </c:pt>
                <c:pt idx="1">
                  <c:v>2.6</c:v>
                </c:pt>
                <c:pt idx="2">
                  <c:v>5.4</c:v>
                </c:pt>
                <c:pt idx="3">
                  <c:v>70.599999999999994</c:v>
                </c:pt>
                <c:pt idx="4">
                  <c:v>13.100000000000001</c:v>
                </c:pt>
              </c:numCache>
            </c:numRef>
          </c:val>
          <c:extLst>
            <c:ext xmlns:c16="http://schemas.microsoft.com/office/drawing/2014/chart" uri="{C3380CC4-5D6E-409C-BE32-E72D297353CC}">
              <c16:uniqueId val="{0000000A-098A-4D73-9644-30D2E1BFE424}"/>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 à la formation pour les salariés en chômage partiel par taille d'entreprise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Q12_Tab22!$A$5</c:f>
              <c:strCache>
                <c:ptCount val="1"/>
                <c:pt idx="0">
                  <c:v>Oui, avec une subvention du FNE-Formation</c:v>
                </c:pt>
              </c:strCache>
            </c:strRef>
          </c:tx>
          <c:spPr>
            <a:solidFill>
              <a:schemeClr val="accent1"/>
            </a:solidFill>
            <a:ln>
              <a:noFill/>
            </a:ln>
            <a:effectLst/>
          </c:spPr>
          <c:invertIfNegative val="0"/>
          <c:cat>
            <c:strRef>
              <c:f>Q12_Tab22!$B$4:$H$4</c:f>
              <c:strCache>
                <c:ptCount val="7"/>
                <c:pt idx="0">
                  <c:v>Total</c:v>
                </c:pt>
                <c:pt idx="1">
                  <c:v>10 - 19</c:v>
                </c:pt>
                <c:pt idx="2">
                  <c:v>20 - 49</c:v>
                </c:pt>
                <c:pt idx="3">
                  <c:v>50 - 99</c:v>
                </c:pt>
                <c:pt idx="4">
                  <c:v>100 - 249</c:v>
                </c:pt>
                <c:pt idx="5">
                  <c:v>250 - 499</c:v>
                </c:pt>
                <c:pt idx="6">
                  <c:v>500 et +</c:v>
                </c:pt>
              </c:strCache>
            </c:strRef>
          </c:cat>
          <c:val>
            <c:numRef>
              <c:f>Q12_Tab22!$B$5:$H$5</c:f>
              <c:numCache>
                <c:formatCode>0.0</c:formatCode>
                <c:ptCount val="7"/>
                <c:pt idx="0">
                  <c:v>8.4</c:v>
                </c:pt>
                <c:pt idx="1">
                  <c:v>3.4000000000000004</c:v>
                </c:pt>
                <c:pt idx="2">
                  <c:v>6</c:v>
                </c:pt>
                <c:pt idx="3">
                  <c:v>7.9</c:v>
                </c:pt>
                <c:pt idx="4">
                  <c:v>11.1</c:v>
                </c:pt>
                <c:pt idx="5">
                  <c:v>11</c:v>
                </c:pt>
                <c:pt idx="6">
                  <c:v>8.6999999999999993</c:v>
                </c:pt>
              </c:numCache>
            </c:numRef>
          </c:val>
          <c:extLst>
            <c:ext xmlns:c16="http://schemas.microsoft.com/office/drawing/2014/chart" uri="{C3380CC4-5D6E-409C-BE32-E72D297353CC}">
              <c16:uniqueId val="{00000000-CE5E-45C8-909F-BAB62DD8A538}"/>
            </c:ext>
          </c:extLst>
        </c:ser>
        <c:ser>
          <c:idx val="1"/>
          <c:order val="1"/>
          <c:tx>
            <c:strRef>
              <c:f>Q12_Tab22!$A$6</c:f>
              <c:strCache>
                <c:ptCount val="1"/>
                <c:pt idx="0">
                  <c:v>Oui, sans subvention du FNE-Formation</c:v>
                </c:pt>
              </c:strCache>
            </c:strRef>
          </c:tx>
          <c:spPr>
            <a:solidFill>
              <a:schemeClr val="accent2"/>
            </a:solidFill>
            <a:ln>
              <a:noFill/>
            </a:ln>
            <a:effectLst/>
          </c:spPr>
          <c:invertIfNegative val="0"/>
          <c:cat>
            <c:strRef>
              <c:f>Q12_Tab22!$B$4:$H$4</c:f>
              <c:strCache>
                <c:ptCount val="7"/>
                <c:pt idx="0">
                  <c:v>Total</c:v>
                </c:pt>
                <c:pt idx="1">
                  <c:v>10 - 19</c:v>
                </c:pt>
                <c:pt idx="2">
                  <c:v>20 - 49</c:v>
                </c:pt>
                <c:pt idx="3">
                  <c:v>50 - 99</c:v>
                </c:pt>
                <c:pt idx="4">
                  <c:v>100 - 249</c:v>
                </c:pt>
                <c:pt idx="5">
                  <c:v>250 - 499</c:v>
                </c:pt>
                <c:pt idx="6">
                  <c:v>500 et +</c:v>
                </c:pt>
              </c:strCache>
            </c:strRef>
          </c:cat>
          <c:val>
            <c:numRef>
              <c:f>Q12_Tab22!$B$6:$H$6</c:f>
              <c:numCache>
                <c:formatCode>0.0</c:formatCode>
                <c:ptCount val="7"/>
                <c:pt idx="0">
                  <c:v>2.6</c:v>
                </c:pt>
                <c:pt idx="1">
                  <c:v>1.2</c:v>
                </c:pt>
                <c:pt idx="2">
                  <c:v>2.1</c:v>
                </c:pt>
                <c:pt idx="3">
                  <c:v>3.6999999999999997</c:v>
                </c:pt>
                <c:pt idx="4">
                  <c:v>3.5000000000000004</c:v>
                </c:pt>
                <c:pt idx="5">
                  <c:v>2.8000000000000003</c:v>
                </c:pt>
                <c:pt idx="6">
                  <c:v>2.5</c:v>
                </c:pt>
              </c:numCache>
            </c:numRef>
          </c:val>
          <c:extLst>
            <c:ext xmlns:c16="http://schemas.microsoft.com/office/drawing/2014/chart" uri="{C3380CC4-5D6E-409C-BE32-E72D297353CC}">
              <c16:uniqueId val="{00000001-CE5E-45C8-909F-BAB62DD8A538}"/>
            </c:ext>
          </c:extLst>
        </c:ser>
        <c:ser>
          <c:idx val="2"/>
          <c:order val="2"/>
          <c:tx>
            <c:strRef>
              <c:f>Q12_Tab22!$A$7</c:f>
              <c:strCache>
                <c:ptCount val="1"/>
                <c:pt idx="0">
                  <c:v>Oui, mais je ne sais pas si c'est dans le cadre d'une subvention du FNE-Formation</c:v>
                </c:pt>
              </c:strCache>
            </c:strRef>
          </c:tx>
          <c:spPr>
            <a:solidFill>
              <a:schemeClr val="accent3"/>
            </a:solidFill>
            <a:ln>
              <a:noFill/>
            </a:ln>
            <a:effectLst/>
          </c:spPr>
          <c:invertIfNegative val="0"/>
          <c:cat>
            <c:strRef>
              <c:f>Q12_Tab22!$B$4:$H$4</c:f>
              <c:strCache>
                <c:ptCount val="7"/>
                <c:pt idx="0">
                  <c:v>Total</c:v>
                </c:pt>
                <c:pt idx="1">
                  <c:v>10 - 19</c:v>
                </c:pt>
                <c:pt idx="2">
                  <c:v>20 - 49</c:v>
                </c:pt>
                <c:pt idx="3">
                  <c:v>50 - 99</c:v>
                </c:pt>
                <c:pt idx="4">
                  <c:v>100 - 249</c:v>
                </c:pt>
                <c:pt idx="5">
                  <c:v>250 - 499</c:v>
                </c:pt>
                <c:pt idx="6">
                  <c:v>500 et +</c:v>
                </c:pt>
              </c:strCache>
            </c:strRef>
          </c:cat>
          <c:val>
            <c:numRef>
              <c:f>Q12_Tab22!$B$7:$H$7</c:f>
              <c:numCache>
                <c:formatCode>0.0</c:formatCode>
                <c:ptCount val="7"/>
                <c:pt idx="0">
                  <c:v>5.4</c:v>
                </c:pt>
                <c:pt idx="1">
                  <c:v>2.4</c:v>
                </c:pt>
                <c:pt idx="2">
                  <c:v>3.5000000000000004</c:v>
                </c:pt>
                <c:pt idx="3">
                  <c:v>2.2999999999999998</c:v>
                </c:pt>
                <c:pt idx="4">
                  <c:v>3.5000000000000004</c:v>
                </c:pt>
                <c:pt idx="5">
                  <c:v>3.9</c:v>
                </c:pt>
                <c:pt idx="6">
                  <c:v>8.5</c:v>
                </c:pt>
              </c:numCache>
            </c:numRef>
          </c:val>
          <c:extLst>
            <c:ext xmlns:c16="http://schemas.microsoft.com/office/drawing/2014/chart" uri="{C3380CC4-5D6E-409C-BE32-E72D297353CC}">
              <c16:uniqueId val="{00000002-CE5E-45C8-909F-BAB62DD8A538}"/>
            </c:ext>
          </c:extLst>
        </c:ser>
        <c:ser>
          <c:idx val="3"/>
          <c:order val="3"/>
          <c:tx>
            <c:strRef>
              <c:f>Q12_Tab22!$A$8</c:f>
              <c:strCache>
                <c:ptCount val="1"/>
                <c:pt idx="0">
                  <c:v>Non</c:v>
                </c:pt>
              </c:strCache>
            </c:strRef>
          </c:tx>
          <c:spPr>
            <a:solidFill>
              <a:schemeClr val="accent4"/>
            </a:solidFill>
            <a:ln>
              <a:noFill/>
            </a:ln>
            <a:effectLst/>
          </c:spPr>
          <c:invertIfNegative val="0"/>
          <c:cat>
            <c:strRef>
              <c:f>Q12_Tab22!$B$4:$H$4</c:f>
              <c:strCache>
                <c:ptCount val="7"/>
                <c:pt idx="0">
                  <c:v>Total</c:v>
                </c:pt>
                <c:pt idx="1">
                  <c:v>10 - 19</c:v>
                </c:pt>
                <c:pt idx="2">
                  <c:v>20 - 49</c:v>
                </c:pt>
                <c:pt idx="3">
                  <c:v>50 - 99</c:v>
                </c:pt>
                <c:pt idx="4">
                  <c:v>100 - 249</c:v>
                </c:pt>
                <c:pt idx="5">
                  <c:v>250 - 499</c:v>
                </c:pt>
                <c:pt idx="6">
                  <c:v>500 et +</c:v>
                </c:pt>
              </c:strCache>
            </c:strRef>
          </c:cat>
          <c:val>
            <c:numRef>
              <c:f>Q12_Tab22!$B$8:$H$8</c:f>
              <c:numCache>
                <c:formatCode>0.0</c:formatCode>
                <c:ptCount val="7"/>
                <c:pt idx="0">
                  <c:v>70.599999999999994</c:v>
                </c:pt>
                <c:pt idx="1">
                  <c:v>89.4</c:v>
                </c:pt>
                <c:pt idx="2">
                  <c:v>85</c:v>
                </c:pt>
                <c:pt idx="3">
                  <c:v>80.400000000000006</c:v>
                </c:pt>
                <c:pt idx="4">
                  <c:v>74.900000000000006</c:v>
                </c:pt>
                <c:pt idx="5">
                  <c:v>72.7</c:v>
                </c:pt>
                <c:pt idx="6">
                  <c:v>56.999999999999993</c:v>
                </c:pt>
              </c:numCache>
            </c:numRef>
          </c:val>
          <c:extLst>
            <c:ext xmlns:c16="http://schemas.microsoft.com/office/drawing/2014/chart" uri="{C3380CC4-5D6E-409C-BE32-E72D297353CC}">
              <c16:uniqueId val="{00000003-CE5E-45C8-909F-BAB62DD8A538}"/>
            </c:ext>
          </c:extLst>
        </c:ser>
        <c:ser>
          <c:idx val="4"/>
          <c:order val="4"/>
          <c:tx>
            <c:strRef>
              <c:f>Q12_Tab22!$A$9</c:f>
              <c:strCache>
                <c:ptCount val="1"/>
                <c:pt idx="0">
                  <c:v>Ne sais pas</c:v>
                </c:pt>
              </c:strCache>
            </c:strRef>
          </c:tx>
          <c:spPr>
            <a:solidFill>
              <a:schemeClr val="accent5"/>
            </a:solidFill>
            <a:ln>
              <a:noFill/>
            </a:ln>
            <a:effectLst/>
          </c:spPr>
          <c:invertIfNegative val="0"/>
          <c:cat>
            <c:strRef>
              <c:f>Q12_Tab22!$B$4:$H$4</c:f>
              <c:strCache>
                <c:ptCount val="7"/>
                <c:pt idx="0">
                  <c:v>Total</c:v>
                </c:pt>
                <c:pt idx="1">
                  <c:v>10 - 19</c:v>
                </c:pt>
                <c:pt idx="2">
                  <c:v>20 - 49</c:v>
                </c:pt>
                <c:pt idx="3">
                  <c:v>50 - 99</c:v>
                </c:pt>
                <c:pt idx="4">
                  <c:v>100 - 249</c:v>
                </c:pt>
                <c:pt idx="5">
                  <c:v>250 - 499</c:v>
                </c:pt>
                <c:pt idx="6">
                  <c:v>500 et +</c:v>
                </c:pt>
              </c:strCache>
            </c:strRef>
          </c:cat>
          <c:val>
            <c:numRef>
              <c:f>Q12_Tab22!$B$9:$H$9</c:f>
              <c:numCache>
                <c:formatCode>0.0</c:formatCode>
                <c:ptCount val="7"/>
                <c:pt idx="0">
                  <c:v>13.100000000000001</c:v>
                </c:pt>
                <c:pt idx="1">
                  <c:v>3.5999999999999996</c:v>
                </c:pt>
                <c:pt idx="2">
                  <c:v>3.5000000000000004</c:v>
                </c:pt>
                <c:pt idx="3">
                  <c:v>5.6000000000000005</c:v>
                </c:pt>
                <c:pt idx="4">
                  <c:v>7.1</c:v>
                </c:pt>
                <c:pt idx="5">
                  <c:v>9.5</c:v>
                </c:pt>
                <c:pt idx="6">
                  <c:v>23.200000000000003</c:v>
                </c:pt>
              </c:numCache>
            </c:numRef>
          </c:val>
          <c:extLst>
            <c:ext xmlns:c16="http://schemas.microsoft.com/office/drawing/2014/chart" uri="{C3380CC4-5D6E-409C-BE32-E72D297353CC}">
              <c16:uniqueId val="{00000004-CE5E-45C8-909F-BAB62DD8A538}"/>
            </c:ext>
          </c:extLst>
        </c:ser>
        <c:dLbls>
          <c:showLegendKey val="0"/>
          <c:showVal val="0"/>
          <c:showCatName val="0"/>
          <c:showSerName val="0"/>
          <c:showPercent val="0"/>
          <c:showBubbleSize val="0"/>
        </c:dLbls>
        <c:gapWidth val="150"/>
        <c:overlap val="100"/>
        <c:axId val="742189808"/>
        <c:axId val="742190136"/>
      </c:barChart>
      <c:catAx>
        <c:axId val="742189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2190136"/>
        <c:crosses val="autoZero"/>
        <c:auto val="1"/>
        <c:lblAlgn val="ctr"/>
        <c:lblOffset val="100"/>
        <c:noMultiLvlLbl val="0"/>
      </c:catAx>
      <c:valAx>
        <c:axId val="742190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2189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'Q2_Tab 3'!$B$4</c:f>
              <c:strCache>
                <c:ptCount val="1"/>
                <c:pt idx="0">
                  <c:v>Elle a été arrêtée</c:v>
                </c:pt>
              </c:strCache>
            </c:strRef>
          </c:tx>
          <c:spPr>
            <a:solidFill>
              <a:schemeClr val="accent1"/>
            </a:solidFill>
            <a:ln>
              <a:noFill/>
            </a:ln>
            <a:effectLst/>
          </c:spPr>
          <c:invertIfNegative val="0"/>
          <c:cat>
            <c:strRef>
              <c:f>'Q2_Tab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3'!$B$5:$B$21</c:f>
              <c:numCache>
                <c:formatCode>0.0</c:formatCode>
                <c:ptCount val="17"/>
                <c:pt idx="0">
                  <c:v>1.4000000000000001</c:v>
                </c:pt>
                <c:pt idx="1">
                  <c:v>0</c:v>
                </c:pt>
                <c:pt idx="2">
                  <c:v>0</c:v>
                </c:pt>
                <c:pt idx="3">
                  <c:v>0</c:v>
                </c:pt>
                <c:pt idx="4">
                  <c:v>0</c:v>
                </c:pt>
                <c:pt idx="5">
                  <c:v>0</c:v>
                </c:pt>
                <c:pt idx="6">
                  <c:v>0.1</c:v>
                </c:pt>
                <c:pt idx="7">
                  <c:v>0.4</c:v>
                </c:pt>
                <c:pt idx="8">
                  <c:v>0.4</c:v>
                </c:pt>
                <c:pt idx="9">
                  <c:v>1</c:v>
                </c:pt>
                <c:pt idx="10">
                  <c:v>12.2</c:v>
                </c:pt>
                <c:pt idx="11">
                  <c:v>0.2</c:v>
                </c:pt>
                <c:pt idx="12">
                  <c:v>0</c:v>
                </c:pt>
                <c:pt idx="13">
                  <c:v>0</c:v>
                </c:pt>
                <c:pt idx="14">
                  <c:v>1.4000000000000001</c:v>
                </c:pt>
                <c:pt idx="15">
                  <c:v>0.5</c:v>
                </c:pt>
                <c:pt idx="16">
                  <c:v>8.3000000000000007</c:v>
                </c:pt>
              </c:numCache>
            </c:numRef>
          </c:val>
          <c:extLst>
            <c:ext xmlns:c16="http://schemas.microsoft.com/office/drawing/2014/chart" uri="{C3380CC4-5D6E-409C-BE32-E72D297353CC}">
              <c16:uniqueId val="{00000000-A9DE-4970-8EBE-39F4941BF1F9}"/>
            </c:ext>
          </c:extLst>
        </c:ser>
        <c:ser>
          <c:idx val="1"/>
          <c:order val="1"/>
          <c:tx>
            <c:strRef>
              <c:f>'Q2_Tab 3'!$C$4</c:f>
              <c:strCache>
                <c:ptCount val="1"/>
                <c:pt idx="0">
                  <c:v>Elle a diminué très fortement
 (de 50 % ou plus)</c:v>
                </c:pt>
              </c:strCache>
            </c:strRef>
          </c:tx>
          <c:spPr>
            <a:solidFill>
              <a:schemeClr val="accent2"/>
            </a:solidFill>
            <a:ln>
              <a:noFill/>
            </a:ln>
            <a:effectLst/>
          </c:spPr>
          <c:invertIfNegative val="0"/>
          <c:cat>
            <c:strRef>
              <c:f>'Q2_Tab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3'!$C$5:$C$21</c:f>
              <c:numCache>
                <c:formatCode>0.0</c:formatCode>
                <c:ptCount val="17"/>
                <c:pt idx="0">
                  <c:v>11.4</c:v>
                </c:pt>
                <c:pt idx="1">
                  <c:v>0</c:v>
                </c:pt>
                <c:pt idx="2">
                  <c:v>5.0999999999999996</c:v>
                </c:pt>
                <c:pt idx="3">
                  <c:v>0</c:v>
                </c:pt>
                <c:pt idx="4">
                  <c:v>11.3</c:v>
                </c:pt>
                <c:pt idx="5">
                  <c:v>26.400000000000002</c:v>
                </c:pt>
                <c:pt idx="6">
                  <c:v>10.7</c:v>
                </c:pt>
                <c:pt idx="7">
                  <c:v>6</c:v>
                </c:pt>
                <c:pt idx="8">
                  <c:v>4.3999999999999995</c:v>
                </c:pt>
                <c:pt idx="9">
                  <c:v>21.8</c:v>
                </c:pt>
                <c:pt idx="10">
                  <c:v>44.9</c:v>
                </c:pt>
                <c:pt idx="11">
                  <c:v>7.0000000000000009</c:v>
                </c:pt>
                <c:pt idx="12">
                  <c:v>2.5</c:v>
                </c:pt>
                <c:pt idx="13">
                  <c:v>0</c:v>
                </c:pt>
                <c:pt idx="14">
                  <c:v>12.7</c:v>
                </c:pt>
                <c:pt idx="15">
                  <c:v>7.7</c:v>
                </c:pt>
                <c:pt idx="16">
                  <c:v>23.400000000000002</c:v>
                </c:pt>
              </c:numCache>
            </c:numRef>
          </c:val>
          <c:extLst>
            <c:ext xmlns:c16="http://schemas.microsoft.com/office/drawing/2014/chart" uri="{C3380CC4-5D6E-409C-BE32-E72D297353CC}">
              <c16:uniqueId val="{00000001-A9DE-4970-8EBE-39F4941BF1F9}"/>
            </c:ext>
          </c:extLst>
        </c:ser>
        <c:ser>
          <c:idx val="2"/>
          <c:order val="2"/>
          <c:tx>
            <c:strRef>
              <c:f>'Q2_Tab 3'!$D$4</c:f>
              <c:strCache>
                <c:ptCount val="1"/>
                <c:pt idx="0">
                  <c:v>Elle a diminué fortement
 (de moins de 50 %)</c:v>
                </c:pt>
              </c:strCache>
            </c:strRef>
          </c:tx>
          <c:spPr>
            <a:solidFill>
              <a:schemeClr val="accent3"/>
            </a:solidFill>
            <a:ln>
              <a:noFill/>
            </a:ln>
            <a:effectLst/>
          </c:spPr>
          <c:invertIfNegative val="0"/>
          <c:cat>
            <c:strRef>
              <c:f>'Q2_Tab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3'!$D$5:$D$21</c:f>
              <c:numCache>
                <c:formatCode>0.0</c:formatCode>
                <c:ptCount val="17"/>
                <c:pt idx="0">
                  <c:v>38.5</c:v>
                </c:pt>
                <c:pt idx="1">
                  <c:v>55.500000000000007</c:v>
                </c:pt>
                <c:pt idx="2">
                  <c:v>27.800000000000004</c:v>
                </c:pt>
                <c:pt idx="3">
                  <c:v>0</c:v>
                </c:pt>
                <c:pt idx="4">
                  <c:v>41</c:v>
                </c:pt>
                <c:pt idx="5">
                  <c:v>58.699999999999996</c:v>
                </c:pt>
                <c:pt idx="6">
                  <c:v>43.6</c:v>
                </c:pt>
                <c:pt idx="7">
                  <c:v>27.700000000000003</c:v>
                </c:pt>
                <c:pt idx="8">
                  <c:v>35.199999999999996</c:v>
                </c:pt>
                <c:pt idx="9">
                  <c:v>34</c:v>
                </c:pt>
                <c:pt idx="10">
                  <c:v>30.8</c:v>
                </c:pt>
                <c:pt idx="11">
                  <c:v>60.8</c:v>
                </c:pt>
                <c:pt idx="12">
                  <c:v>46.400000000000006</c:v>
                </c:pt>
                <c:pt idx="13">
                  <c:v>20.7</c:v>
                </c:pt>
                <c:pt idx="14">
                  <c:v>43.1</c:v>
                </c:pt>
                <c:pt idx="15">
                  <c:v>33.1</c:v>
                </c:pt>
                <c:pt idx="16">
                  <c:v>27.200000000000003</c:v>
                </c:pt>
              </c:numCache>
            </c:numRef>
          </c:val>
          <c:extLst>
            <c:ext xmlns:c16="http://schemas.microsoft.com/office/drawing/2014/chart" uri="{C3380CC4-5D6E-409C-BE32-E72D297353CC}">
              <c16:uniqueId val="{00000002-A9DE-4970-8EBE-39F4941BF1F9}"/>
            </c:ext>
          </c:extLst>
        </c:ser>
        <c:ser>
          <c:idx val="3"/>
          <c:order val="3"/>
          <c:tx>
            <c:strRef>
              <c:f>'Q2_Tab 3'!$E$4</c:f>
              <c:strCache>
                <c:ptCount val="1"/>
                <c:pt idx="0">
                  <c:v>Elle est restée inchangée</c:v>
                </c:pt>
              </c:strCache>
            </c:strRef>
          </c:tx>
          <c:spPr>
            <a:solidFill>
              <a:schemeClr val="accent4"/>
            </a:solidFill>
            <a:ln>
              <a:noFill/>
            </a:ln>
            <a:effectLst/>
          </c:spPr>
          <c:invertIfNegative val="0"/>
          <c:cat>
            <c:strRef>
              <c:f>'Q2_Tab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3'!$E$5:$E$21</c:f>
              <c:numCache>
                <c:formatCode>0.0</c:formatCode>
                <c:ptCount val="17"/>
                <c:pt idx="0">
                  <c:v>37.1</c:v>
                </c:pt>
                <c:pt idx="1">
                  <c:v>40.5</c:v>
                </c:pt>
                <c:pt idx="2">
                  <c:v>58.099999999999994</c:v>
                </c:pt>
                <c:pt idx="3">
                  <c:v>0</c:v>
                </c:pt>
                <c:pt idx="4">
                  <c:v>40.699999999999996</c:v>
                </c:pt>
                <c:pt idx="5">
                  <c:v>13.3</c:v>
                </c:pt>
                <c:pt idx="6">
                  <c:v>35.199999999999996</c:v>
                </c:pt>
                <c:pt idx="7">
                  <c:v>49.9</c:v>
                </c:pt>
                <c:pt idx="8">
                  <c:v>38</c:v>
                </c:pt>
                <c:pt idx="9">
                  <c:v>26.200000000000003</c:v>
                </c:pt>
                <c:pt idx="10">
                  <c:v>9.7000000000000011</c:v>
                </c:pt>
                <c:pt idx="11">
                  <c:v>28.499999999999996</c:v>
                </c:pt>
                <c:pt idx="12">
                  <c:v>40.300000000000004</c:v>
                </c:pt>
                <c:pt idx="13">
                  <c:v>66.900000000000006</c:v>
                </c:pt>
                <c:pt idx="14">
                  <c:v>34.4</c:v>
                </c:pt>
                <c:pt idx="15">
                  <c:v>47</c:v>
                </c:pt>
                <c:pt idx="16">
                  <c:v>35</c:v>
                </c:pt>
              </c:numCache>
            </c:numRef>
          </c:val>
          <c:extLst>
            <c:ext xmlns:c16="http://schemas.microsoft.com/office/drawing/2014/chart" uri="{C3380CC4-5D6E-409C-BE32-E72D297353CC}">
              <c16:uniqueId val="{00000003-A9DE-4970-8EBE-39F4941BF1F9}"/>
            </c:ext>
          </c:extLst>
        </c:ser>
        <c:ser>
          <c:idx val="4"/>
          <c:order val="4"/>
          <c:tx>
            <c:strRef>
              <c:f>'Q2_Tab 3'!$F$4</c:f>
              <c:strCache>
                <c:ptCount val="1"/>
                <c:pt idx="0">
                  <c:v>Elle a augmenté</c:v>
                </c:pt>
              </c:strCache>
            </c:strRef>
          </c:tx>
          <c:spPr>
            <a:solidFill>
              <a:schemeClr val="accent5"/>
            </a:solidFill>
            <a:ln>
              <a:noFill/>
            </a:ln>
            <a:effectLst/>
          </c:spPr>
          <c:invertIfNegative val="0"/>
          <c:cat>
            <c:strRef>
              <c:f>'Q2_Tab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3'!$F$5:$F$21</c:f>
              <c:numCache>
                <c:formatCode>0.0</c:formatCode>
                <c:ptCount val="17"/>
                <c:pt idx="0">
                  <c:v>11.600000000000001</c:v>
                </c:pt>
                <c:pt idx="1">
                  <c:v>2.7</c:v>
                </c:pt>
                <c:pt idx="2">
                  <c:v>8.6999999999999993</c:v>
                </c:pt>
                <c:pt idx="3">
                  <c:v>4</c:v>
                </c:pt>
                <c:pt idx="4">
                  <c:v>0</c:v>
                </c:pt>
                <c:pt idx="5">
                  <c:v>0</c:v>
                </c:pt>
                <c:pt idx="6">
                  <c:v>10.4</c:v>
                </c:pt>
                <c:pt idx="7">
                  <c:v>16</c:v>
                </c:pt>
                <c:pt idx="8">
                  <c:v>22</c:v>
                </c:pt>
                <c:pt idx="9">
                  <c:v>17</c:v>
                </c:pt>
                <c:pt idx="10">
                  <c:v>2.4</c:v>
                </c:pt>
                <c:pt idx="11">
                  <c:v>3.5000000000000004</c:v>
                </c:pt>
                <c:pt idx="12">
                  <c:v>10.8</c:v>
                </c:pt>
                <c:pt idx="13">
                  <c:v>7.0000000000000009</c:v>
                </c:pt>
                <c:pt idx="14">
                  <c:v>8.3000000000000007</c:v>
                </c:pt>
                <c:pt idx="15">
                  <c:v>11.600000000000001</c:v>
                </c:pt>
                <c:pt idx="16">
                  <c:v>6</c:v>
                </c:pt>
              </c:numCache>
            </c:numRef>
          </c:val>
          <c:extLst>
            <c:ext xmlns:c16="http://schemas.microsoft.com/office/drawing/2014/chart" uri="{C3380CC4-5D6E-409C-BE32-E72D297353CC}">
              <c16:uniqueId val="{00000004-A9DE-4970-8EBE-39F4941BF1F9}"/>
            </c:ext>
          </c:extLst>
        </c:ser>
        <c:ser>
          <c:idx val="5"/>
          <c:order val="5"/>
          <c:tx>
            <c:strRef>
              <c:f>'Q2_Tab 3'!$G$4</c:f>
              <c:strCache>
                <c:ptCount val="1"/>
                <c:pt idx="0">
                  <c:v>nd</c:v>
                </c:pt>
              </c:strCache>
            </c:strRef>
          </c:tx>
          <c:spPr>
            <a:solidFill>
              <a:schemeClr val="accent6"/>
            </a:solidFill>
            <a:ln>
              <a:noFill/>
            </a:ln>
            <a:effectLst/>
          </c:spPr>
          <c:invertIfNegative val="0"/>
          <c:cat>
            <c:strRef>
              <c:f>'Q2_Tab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3'!$G$5:$G$21</c:f>
              <c:numCache>
                <c:formatCode>0.0</c:formatCode>
                <c:ptCount val="17"/>
                <c:pt idx="1">
                  <c:v>1.2999999999999972</c:v>
                </c:pt>
                <c:pt idx="3">
                  <c:v>96</c:v>
                </c:pt>
                <c:pt idx="13">
                  <c:v>5.3999999999999915</c:v>
                </c:pt>
              </c:numCache>
            </c:numRef>
          </c:val>
          <c:extLst>
            <c:ext xmlns:c16="http://schemas.microsoft.com/office/drawing/2014/chart" uri="{C3380CC4-5D6E-409C-BE32-E72D297353CC}">
              <c16:uniqueId val="{00000000-74B9-424B-B342-DB4086D3A910}"/>
            </c:ext>
          </c:extLst>
        </c:ser>
        <c:dLbls>
          <c:showLegendKey val="0"/>
          <c:showVal val="0"/>
          <c:showCatName val="0"/>
          <c:showSerName val="0"/>
          <c:showPercent val="0"/>
          <c:showBubbleSize val="0"/>
        </c:dLbls>
        <c:gapWidth val="150"/>
        <c:overlap val="100"/>
        <c:axId val="555410736"/>
        <c:axId val="555409096"/>
      </c:barChart>
      <c:catAx>
        <c:axId val="555410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09096"/>
        <c:crosses val="autoZero"/>
        <c:auto val="1"/>
        <c:lblAlgn val="ctr"/>
        <c:lblOffset val="100"/>
        <c:noMultiLvlLbl val="0"/>
      </c:catAx>
      <c:valAx>
        <c:axId val="55540909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10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0" i="0" kern="1200" spc="0" baseline="0">
                <a:solidFill>
                  <a:srgbClr val="595959"/>
                </a:solidFill>
                <a:effectLst/>
              </a:rPr>
              <a:t>Recours à la formation pour les salariés en chômage partiel, par secteur</a:t>
            </a:r>
            <a:endParaRPr lang="fr-FR">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Q12_Tab23!$B$5</c:f>
              <c:strCache>
                <c:ptCount val="1"/>
                <c:pt idx="0">
                  <c:v>Oui, avec une subvention du FNE-Formation</c:v>
                </c:pt>
              </c:strCache>
            </c:strRef>
          </c:tx>
          <c:spPr>
            <a:solidFill>
              <a:schemeClr val="accent1"/>
            </a:solidFill>
            <a:ln>
              <a:noFill/>
            </a:ln>
            <a:effectLst/>
          </c:spPr>
          <c:invertIfNegative val="0"/>
          <c:cat>
            <c:strRef>
              <c:f>Q12_Tab23!$A$6:$A$22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Q12_Tab23!$B$6:$B$22</c:f>
              <c:numCache>
                <c:formatCode>0.0</c:formatCode>
                <c:ptCount val="17"/>
                <c:pt idx="0">
                  <c:v>8.4</c:v>
                </c:pt>
                <c:pt idx="1">
                  <c:v>0</c:v>
                </c:pt>
                <c:pt idx="2">
                  <c:v>3.6999999999999997</c:v>
                </c:pt>
                <c:pt idx="3">
                  <c:v>0</c:v>
                </c:pt>
                <c:pt idx="4">
                  <c:v>13.600000000000001</c:v>
                </c:pt>
                <c:pt idx="5">
                  <c:v>17.899999999999999</c:v>
                </c:pt>
                <c:pt idx="6">
                  <c:v>12.4</c:v>
                </c:pt>
                <c:pt idx="7">
                  <c:v>1.7000000000000002</c:v>
                </c:pt>
                <c:pt idx="8">
                  <c:v>5.7</c:v>
                </c:pt>
                <c:pt idx="9">
                  <c:v>5.7</c:v>
                </c:pt>
                <c:pt idx="10">
                  <c:v>16.900000000000002</c:v>
                </c:pt>
                <c:pt idx="11">
                  <c:v>19.2</c:v>
                </c:pt>
                <c:pt idx="12">
                  <c:v>7.0000000000000009</c:v>
                </c:pt>
                <c:pt idx="13">
                  <c:v>3.3000000000000003</c:v>
                </c:pt>
                <c:pt idx="14">
                  <c:v>9.5</c:v>
                </c:pt>
                <c:pt idx="15">
                  <c:v>2.5</c:v>
                </c:pt>
                <c:pt idx="16">
                  <c:v>6.7</c:v>
                </c:pt>
              </c:numCache>
            </c:numRef>
          </c:val>
          <c:extLst>
            <c:ext xmlns:c16="http://schemas.microsoft.com/office/drawing/2014/chart" uri="{C3380CC4-5D6E-409C-BE32-E72D297353CC}">
              <c16:uniqueId val="{00000000-D832-4462-A81A-ACFB81417046}"/>
            </c:ext>
          </c:extLst>
        </c:ser>
        <c:ser>
          <c:idx val="1"/>
          <c:order val="1"/>
          <c:tx>
            <c:strRef>
              <c:f>Q12_Tab23!$C$5</c:f>
              <c:strCache>
                <c:ptCount val="1"/>
                <c:pt idx="0">
                  <c:v>Oui, sans subvention du FNE-Formation</c:v>
                </c:pt>
              </c:strCache>
            </c:strRef>
          </c:tx>
          <c:spPr>
            <a:solidFill>
              <a:schemeClr val="accent2"/>
            </a:solidFill>
            <a:ln>
              <a:noFill/>
            </a:ln>
            <a:effectLst/>
          </c:spPr>
          <c:invertIfNegative val="0"/>
          <c:cat>
            <c:strRef>
              <c:f>Q12_Tab23!$A$6:$A$22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Q12_Tab23!$C$6:$C$22</c:f>
              <c:numCache>
                <c:formatCode>0.0</c:formatCode>
                <c:ptCount val="17"/>
                <c:pt idx="0">
                  <c:v>2.6</c:v>
                </c:pt>
                <c:pt idx="1">
                  <c:v>0</c:v>
                </c:pt>
                <c:pt idx="2">
                  <c:v>1.6</c:v>
                </c:pt>
                <c:pt idx="3">
                  <c:v>0</c:v>
                </c:pt>
                <c:pt idx="4">
                  <c:v>8.4</c:v>
                </c:pt>
                <c:pt idx="5">
                  <c:v>2.9000000000000004</c:v>
                </c:pt>
                <c:pt idx="6">
                  <c:v>4.1000000000000005</c:v>
                </c:pt>
                <c:pt idx="7">
                  <c:v>2.5</c:v>
                </c:pt>
                <c:pt idx="8">
                  <c:v>1.5</c:v>
                </c:pt>
                <c:pt idx="9">
                  <c:v>1.7000000000000002</c:v>
                </c:pt>
                <c:pt idx="10">
                  <c:v>2.1</c:v>
                </c:pt>
                <c:pt idx="11">
                  <c:v>3.1</c:v>
                </c:pt>
                <c:pt idx="12">
                  <c:v>4.2</c:v>
                </c:pt>
                <c:pt idx="13">
                  <c:v>0</c:v>
                </c:pt>
                <c:pt idx="14">
                  <c:v>2.9000000000000004</c:v>
                </c:pt>
                <c:pt idx="15">
                  <c:v>1.3</c:v>
                </c:pt>
                <c:pt idx="16">
                  <c:v>4.2</c:v>
                </c:pt>
              </c:numCache>
            </c:numRef>
          </c:val>
          <c:extLst>
            <c:ext xmlns:c16="http://schemas.microsoft.com/office/drawing/2014/chart" uri="{C3380CC4-5D6E-409C-BE32-E72D297353CC}">
              <c16:uniqueId val="{00000001-D832-4462-A81A-ACFB81417046}"/>
            </c:ext>
          </c:extLst>
        </c:ser>
        <c:ser>
          <c:idx val="2"/>
          <c:order val="2"/>
          <c:tx>
            <c:strRef>
              <c:f>Q12_Tab23!$D$5</c:f>
              <c:strCache>
                <c:ptCount val="1"/>
                <c:pt idx="0">
                  <c:v>Oui, mais je ne sais pas si c'est dans le cadre d'une subvention du FNE-Formation</c:v>
                </c:pt>
              </c:strCache>
            </c:strRef>
          </c:tx>
          <c:spPr>
            <a:solidFill>
              <a:schemeClr val="accent3"/>
            </a:solidFill>
            <a:ln>
              <a:noFill/>
            </a:ln>
            <a:effectLst/>
          </c:spPr>
          <c:invertIfNegative val="0"/>
          <c:cat>
            <c:strRef>
              <c:f>Q12_Tab23!$A$6:$A$22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Q12_Tab23!$D$6:$D$22</c:f>
              <c:numCache>
                <c:formatCode>0.0</c:formatCode>
                <c:ptCount val="17"/>
                <c:pt idx="0">
                  <c:v>5.4</c:v>
                </c:pt>
                <c:pt idx="1">
                  <c:v>0</c:v>
                </c:pt>
                <c:pt idx="2">
                  <c:v>0.89999999999999991</c:v>
                </c:pt>
                <c:pt idx="3">
                  <c:v>0</c:v>
                </c:pt>
                <c:pt idx="4">
                  <c:v>5.8999999999999995</c:v>
                </c:pt>
                <c:pt idx="5">
                  <c:v>8.1</c:v>
                </c:pt>
                <c:pt idx="6">
                  <c:v>6.5</c:v>
                </c:pt>
                <c:pt idx="7">
                  <c:v>2.9000000000000004</c:v>
                </c:pt>
                <c:pt idx="8">
                  <c:v>3.1</c:v>
                </c:pt>
                <c:pt idx="9">
                  <c:v>4.1000000000000005</c:v>
                </c:pt>
                <c:pt idx="10">
                  <c:v>5.4</c:v>
                </c:pt>
                <c:pt idx="11">
                  <c:v>23.3</c:v>
                </c:pt>
                <c:pt idx="12">
                  <c:v>2.8000000000000003</c:v>
                </c:pt>
                <c:pt idx="13">
                  <c:v>0</c:v>
                </c:pt>
                <c:pt idx="14">
                  <c:v>7.3999999999999995</c:v>
                </c:pt>
                <c:pt idx="15">
                  <c:v>1.9</c:v>
                </c:pt>
                <c:pt idx="16">
                  <c:v>2.1</c:v>
                </c:pt>
              </c:numCache>
            </c:numRef>
          </c:val>
          <c:extLst>
            <c:ext xmlns:c16="http://schemas.microsoft.com/office/drawing/2014/chart" uri="{C3380CC4-5D6E-409C-BE32-E72D297353CC}">
              <c16:uniqueId val="{00000002-D832-4462-A81A-ACFB81417046}"/>
            </c:ext>
          </c:extLst>
        </c:ser>
        <c:ser>
          <c:idx val="3"/>
          <c:order val="3"/>
          <c:tx>
            <c:strRef>
              <c:f>Q12_Tab23!$E$5</c:f>
              <c:strCache>
                <c:ptCount val="1"/>
                <c:pt idx="0">
                  <c:v>Non</c:v>
                </c:pt>
              </c:strCache>
            </c:strRef>
          </c:tx>
          <c:spPr>
            <a:solidFill>
              <a:schemeClr val="accent4"/>
            </a:solidFill>
            <a:ln>
              <a:noFill/>
            </a:ln>
            <a:effectLst/>
          </c:spPr>
          <c:invertIfNegative val="0"/>
          <c:cat>
            <c:strRef>
              <c:f>Q12_Tab23!$A$6:$A$22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Q12_Tab23!$E$6:$E$22</c:f>
              <c:numCache>
                <c:formatCode>0.0</c:formatCode>
                <c:ptCount val="17"/>
                <c:pt idx="0">
                  <c:v>70.599999999999994</c:v>
                </c:pt>
                <c:pt idx="1">
                  <c:v>60.199999999999996</c:v>
                </c:pt>
                <c:pt idx="2">
                  <c:v>87.3</c:v>
                </c:pt>
                <c:pt idx="3">
                  <c:v>100</c:v>
                </c:pt>
                <c:pt idx="4">
                  <c:v>60.9</c:v>
                </c:pt>
                <c:pt idx="5">
                  <c:v>38</c:v>
                </c:pt>
                <c:pt idx="6">
                  <c:v>67.300000000000011</c:v>
                </c:pt>
                <c:pt idx="7">
                  <c:v>77.5</c:v>
                </c:pt>
                <c:pt idx="8">
                  <c:v>75.900000000000006</c:v>
                </c:pt>
                <c:pt idx="9">
                  <c:v>71.8</c:v>
                </c:pt>
                <c:pt idx="10">
                  <c:v>68.300000000000011</c:v>
                </c:pt>
                <c:pt idx="11">
                  <c:v>39.6</c:v>
                </c:pt>
                <c:pt idx="12">
                  <c:v>76.2</c:v>
                </c:pt>
                <c:pt idx="13">
                  <c:v>88.4</c:v>
                </c:pt>
                <c:pt idx="14">
                  <c:v>66.3</c:v>
                </c:pt>
                <c:pt idx="15">
                  <c:v>84.2</c:v>
                </c:pt>
                <c:pt idx="16">
                  <c:v>83</c:v>
                </c:pt>
              </c:numCache>
            </c:numRef>
          </c:val>
          <c:extLst>
            <c:ext xmlns:c16="http://schemas.microsoft.com/office/drawing/2014/chart" uri="{C3380CC4-5D6E-409C-BE32-E72D297353CC}">
              <c16:uniqueId val="{00000003-D832-4462-A81A-ACFB81417046}"/>
            </c:ext>
          </c:extLst>
        </c:ser>
        <c:ser>
          <c:idx val="4"/>
          <c:order val="4"/>
          <c:tx>
            <c:strRef>
              <c:f>Q12_Tab23!$F$5</c:f>
              <c:strCache>
                <c:ptCount val="1"/>
                <c:pt idx="0">
                  <c:v>Ne sais pas</c:v>
                </c:pt>
              </c:strCache>
            </c:strRef>
          </c:tx>
          <c:spPr>
            <a:solidFill>
              <a:schemeClr val="accent5"/>
            </a:solidFill>
            <a:ln>
              <a:noFill/>
            </a:ln>
            <a:effectLst/>
          </c:spPr>
          <c:invertIfNegative val="0"/>
          <c:cat>
            <c:strRef>
              <c:f>Q12_Tab23!$A$6:$A$22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Q12_Tab23!$F$6:$F$22</c:f>
              <c:numCache>
                <c:formatCode>0.0</c:formatCode>
                <c:ptCount val="17"/>
                <c:pt idx="0">
                  <c:v>13.100000000000001</c:v>
                </c:pt>
                <c:pt idx="1">
                  <c:v>35.199999999999996</c:v>
                </c:pt>
                <c:pt idx="2">
                  <c:v>6.5</c:v>
                </c:pt>
                <c:pt idx="3">
                  <c:v>0</c:v>
                </c:pt>
                <c:pt idx="4">
                  <c:v>11.3</c:v>
                </c:pt>
                <c:pt idx="5">
                  <c:v>33.1</c:v>
                </c:pt>
                <c:pt idx="6">
                  <c:v>9.6</c:v>
                </c:pt>
                <c:pt idx="7">
                  <c:v>15.299999999999999</c:v>
                </c:pt>
                <c:pt idx="8">
                  <c:v>13.700000000000001</c:v>
                </c:pt>
                <c:pt idx="9">
                  <c:v>16.7</c:v>
                </c:pt>
                <c:pt idx="10">
                  <c:v>7.3</c:v>
                </c:pt>
                <c:pt idx="11">
                  <c:v>14.899999999999999</c:v>
                </c:pt>
                <c:pt idx="12">
                  <c:v>9.8000000000000007</c:v>
                </c:pt>
                <c:pt idx="13">
                  <c:v>4.9000000000000004</c:v>
                </c:pt>
                <c:pt idx="14">
                  <c:v>13.900000000000002</c:v>
                </c:pt>
                <c:pt idx="15">
                  <c:v>10.100000000000001</c:v>
                </c:pt>
                <c:pt idx="16">
                  <c:v>4</c:v>
                </c:pt>
              </c:numCache>
            </c:numRef>
          </c:val>
          <c:extLst>
            <c:ext xmlns:c16="http://schemas.microsoft.com/office/drawing/2014/chart" uri="{C3380CC4-5D6E-409C-BE32-E72D297353CC}">
              <c16:uniqueId val="{00000004-D832-4462-A81A-ACFB81417046}"/>
            </c:ext>
          </c:extLst>
        </c:ser>
        <c:ser>
          <c:idx val="5"/>
          <c:order val="5"/>
          <c:tx>
            <c:strRef>
              <c:f>Q12_Tab23!$G$5</c:f>
              <c:strCache>
                <c:ptCount val="1"/>
                <c:pt idx="0">
                  <c:v>nd</c:v>
                </c:pt>
              </c:strCache>
            </c:strRef>
          </c:tx>
          <c:spPr>
            <a:solidFill>
              <a:schemeClr val="accent6"/>
            </a:solidFill>
            <a:ln>
              <a:noFill/>
            </a:ln>
            <a:effectLst/>
          </c:spPr>
          <c:invertIfNegative val="0"/>
          <c:cat>
            <c:strRef>
              <c:f>Q12_Tab23!$A$6:$A$22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Q12_Tab23!$G$6:$G$22</c:f>
              <c:numCache>
                <c:formatCode>0.0</c:formatCode>
                <c:ptCount val="17"/>
                <c:pt idx="1">
                  <c:v>4.6000000000000085</c:v>
                </c:pt>
                <c:pt idx="13">
                  <c:v>3.3999999999999915</c:v>
                </c:pt>
              </c:numCache>
            </c:numRef>
          </c:val>
          <c:extLst>
            <c:ext xmlns:c16="http://schemas.microsoft.com/office/drawing/2014/chart" uri="{C3380CC4-5D6E-409C-BE32-E72D297353CC}">
              <c16:uniqueId val="{00000005-D832-4462-A81A-ACFB81417046}"/>
            </c:ext>
          </c:extLst>
        </c:ser>
        <c:dLbls>
          <c:showLegendKey val="0"/>
          <c:showVal val="0"/>
          <c:showCatName val="0"/>
          <c:showSerName val="0"/>
          <c:showPercent val="0"/>
          <c:showBubbleSize val="0"/>
        </c:dLbls>
        <c:gapWidth val="150"/>
        <c:overlap val="100"/>
        <c:axId val="693652920"/>
        <c:axId val="693654560"/>
      </c:barChart>
      <c:catAx>
        <c:axId val="6936529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3654560"/>
        <c:crosses val="autoZero"/>
        <c:auto val="1"/>
        <c:lblAlgn val="ctr"/>
        <c:lblOffset val="100"/>
        <c:noMultiLvlLbl val="0"/>
      </c:catAx>
      <c:valAx>
        <c:axId val="69365456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3652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'Q15_Tab 24'!$A$5</c:f>
              <c:strCache>
                <c:ptCount val="1"/>
                <c:pt idx="0">
                  <c:v>la plupart des salariés (80 % ou plus)</c:v>
                </c:pt>
              </c:strCache>
            </c:strRef>
          </c:tx>
          <c:spPr>
            <a:solidFill>
              <a:schemeClr val="accent1"/>
            </a:solidFill>
            <a:ln>
              <a:noFill/>
            </a:ln>
            <a:effectLst/>
          </c:spPr>
          <c:invertIfNegative val="0"/>
          <c:cat>
            <c:strRef>
              <c:f>'Q15_Tab 24'!$B$4:$G$4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'Q15_Tab 24'!$B$5:$G$5</c:f>
              <c:numCache>
                <c:formatCode>0.0</c:formatCode>
                <c:ptCount val="6"/>
                <c:pt idx="0">
                  <c:v>56.699999999999996</c:v>
                </c:pt>
                <c:pt idx="1">
                  <c:v>5.8999999999999995</c:v>
                </c:pt>
                <c:pt idx="2">
                  <c:v>1.4000000000000001</c:v>
                </c:pt>
                <c:pt idx="3">
                  <c:v>0</c:v>
                </c:pt>
                <c:pt idx="4">
                  <c:v>0.2</c:v>
                </c:pt>
                <c:pt idx="5">
                  <c:v>0</c:v>
                </c:pt>
              </c:numCache>
            </c:numRef>
          </c:val>
          <c:extLst>
            <c:ext xmlns:c16="http://schemas.microsoft.com/office/drawing/2014/chart" uri="{C3380CC4-5D6E-409C-BE32-E72D297353CC}">
              <c16:uniqueId val="{00000000-B779-46FB-BF14-00CA2A8CC189}"/>
            </c:ext>
          </c:extLst>
        </c:ser>
        <c:ser>
          <c:idx val="1"/>
          <c:order val="1"/>
          <c:tx>
            <c:strRef>
              <c:f>'Q15_Tab 24'!$A$6</c:f>
              <c:strCache>
                <c:ptCount val="1"/>
                <c:pt idx="0">
                  <c:v>une majorité des salariés (50 % à 79 %)</c:v>
                </c:pt>
              </c:strCache>
            </c:strRef>
          </c:tx>
          <c:spPr>
            <a:solidFill>
              <a:schemeClr val="accent2"/>
            </a:solidFill>
            <a:ln>
              <a:noFill/>
            </a:ln>
            <a:effectLst/>
          </c:spPr>
          <c:invertIfNegative val="0"/>
          <c:cat>
            <c:strRef>
              <c:f>'Q15_Tab 24'!$B$4:$G$4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'Q15_Tab 24'!$B$6:$G$6</c:f>
              <c:numCache>
                <c:formatCode>0.0</c:formatCode>
                <c:ptCount val="6"/>
                <c:pt idx="0">
                  <c:v>16.3</c:v>
                </c:pt>
                <c:pt idx="1">
                  <c:v>8.3000000000000007</c:v>
                </c:pt>
                <c:pt idx="2">
                  <c:v>2.2999999999999998</c:v>
                </c:pt>
                <c:pt idx="3">
                  <c:v>0</c:v>
                </c:pt>
                <c:pt idx="4">
                  <c:v>0.2</c:v>
                </c:pt>
                <c:pt idx="5">
                  <c:v>0</c:v>
                </c:pt>
              </c:numCache>
            </c:numRef>
          </c:val>
          <c:extLst>
            <c:ext xmlns:c16="http://schemas.microsoft.com/office/drawing/2014/chart" uri="{C3380CC4-5D6E-409C-BE32-E72D297353CC}">
              <c16:uniqueId val="{00000001-B779-46FB-BF14-00CA2A8CC189}"/>
            </c:ext>
          </c:extLst>
        </c:ser>
        <c:ser>
          <c:idx val="2"/>
          <c:order val="2"/>
          <c:tx>
            <c:strRef>
              <c:f>'Q15_Tab 24'!$A$7</c:f>
              <c:strCache>
                <c:ptCount val="1"/>
                <c:pt idx="0">
                  <c:v>un nombre conséquent de salariés (30 % à 49 %)</c:v>
                </c:pt>
              </c:strCache>
            </c:strRef>
          </c:tx>
          <c:spPr>
            <a:solidFill>
              <a:schemeClr val="accent3"/>
            </a:solidFill>
            <a:ln>
              <a:noFill/>
            </a:ln>
            <a:effectLst/>
          </c:spPr>
          <c:invertIfNegative val="0"/>
          <c:cat>
            <c:strRef>
              <c:f>'Q15_Tab 24'!$B$4:$G$4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'Q15_Tab 24'!$B$7:$G$7</c:f>
              <c:numCache>
                <c:formatCode>0.0</c:formatCode>
                <c:ptCount val="6"/>
                <c:pt idx="0">
                  <c:v>8.9</c:v>
                </c:pt>
                <c:pt idx="1">
                  <c:v>8.4</c:v>
                </c:pt>
                <c:pt idx="2">
                  <c:v>2.6</c:v>
                </c:pt>
                <c:pt idx="3">
                  <c:v>0.4</c:v>
                </c:pt>
                <c:pt idx="4">
                  <c:v>1.4000000000000001</c:v>
                </c:pt>
                <c:pt idx="5">
                  <c:v>0</c:v>
                </c:pt>
              </c:numCache>
            </c:numRef>
          </c:val>
          <c:extLst>
            <c:ext xmlns:c16="http://schemas.microsoft.com/office/drawing/2014/chart" uri="{C3380CC4-5D6E-409C-BE32-E72D297353CC}">
              <c16:uniqueId val="{00000002-B779-46FB-BF14-00CA2A8CC189}"/>
            </c:ext>
          </c:extLst>
        </c:ser>
        <c:ser>
          <c:idx val="3"/>
          <c:order val="3"/>
          <c:tx>
            <c:strRef>
              <c:f>'Q15_Tab 24'!$A$8</c:f>
              <c:strCache>
                <c:ptCount val="1"/>
                <c:pt idx="0">
                  <c:v>certains salariés (10 % à 29 %)</c:v>
                </c:pt>
              </c:strCache>
            </c:strRef>
          </c:tx>
          <c:spPr>
            <a:solidFill>
              <a:schemeClr val="accent4"/>
            </a:solidFill>
            <a:ln>
              <a:noFill/>
            </a:ln>
            <a:effectLst/>
          </c:spPr>
          <c:invertIfNegative val="0"/>
          <c:cat>
            <c:strRef>
              <c:f>'Q15_Tab 24'!$B$4:$G$4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'Q15_Tab 24'!$B$8:$G$8</c:f>
              <c:numCache>
                <c:formatCode>0.0</c:formatCode>
                <c:ptCount val="6"/>
                <c:pt idx="0">
                  <c:v>7.3999999999999995</c:v>
                </c:pt>
                <c:pt idx="1">
                  <c:v>11.600000000000001</c:v>
                </c:pt>
                <c:pt idx="2">
                  <c:v>6.6000000000000005</c:v>
                </c:pt>
                <c:pt idx="3">
                  <c:v>8.7999999999999989</c:v>
                </c:pt>
                <c:pt idx="4">
                  <c:v>12.8</c:v>
                </c:pt>
                <c:pt idx="5">
                  <c:v>0.3</c:v>
                </c:pt>
              </c:numCache>
            </c:numRef>
          </c:val>
          <c:extLst>
            <c:ext xmlns:c16="http://schemas.microsoft.com/office/drawing/2014/chart" uri="{C3380CC4-5D6E-409C-BE32-E72D297353CC}">
              <c16:uniqueId val="{00000003-B779-46FB-BF14-00CA2A8CC189}"/>
            </c:ext>
          </c:extLst>
        </c:ser>
        <c:ser>
          <c:idx val="4"/>
          <c:order val="4"/>
          <c:tx>
            <c:strRef>
              <c:f>'Q15_Tab 24'!$A$9</c:f>
              <c:strCache>
                <c:ptCount val="1"/>
                <c:pt idx="0">
                  <c:v>quelques salariés (moins de 10 %)</c:v>
                </c:pt>
              </c:strCache>
            </c:strRef>
          </c:tx>
          <c:spPr>
            <a:solidFill>
              <a:schemeClr val="accent5"/>
            </a:solidFill>
            <a:ln>
              <a:noFill/>
            </a:ln>
            <a:effectLst/>
          </c:spPr>
          <c:invertIfNegative val="0"/>
          <c:cat>
            <c:strRef>
              <c:f>'Q15_Tab 24'!$B$4:$G$4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'Q15_Tab 24'!$B$9:$G$9</c:f>
              <c:numCache>
                <c:formatCode>0.0</c:formatCode>
                <c:ptCount val="6"/>
                <c:pt idx="0">
                  <c:v>6</c:v>
                </c:pt>
                <c:pt idx="1">
                  <c:v>30.099999999999998</c:v>
                </c:pt>
                <c:pt idx="2">
                  <c:v>34.5</c:v>
                </c:pt>
                <c:pt idx="3">
                  <c:v>70.599999999999994</c:v>
                </c:pt>
                <c:pt idx="4">
                  <c:v>61.6</c:v>
                </c:pt>
                <c:pt idx="5">
                  <c:v>2.5</c:v>
                </c:pt>
              </c:numCache>
            </c:numRef>
          </c:val>
          <c:extLst>
            <c:ext xmlns:c16="http://schemas.microsoft.com/office/drawing/2014/chart" uri="{C3380CC4-5D6E-409C-BE32-E72D297353CC}">
              <c16:uniqueId val="{00000004-B779-46FB-BF14-00CA2A8CC189}"/>
            </c:ext>
          </c:extLst>
        </c:ser>
        <c:ser>
          <c:idx val="5"/>
          <c:order val="5"/>
          <c:tx>
            <c:strRef>
              <c:f>'Q15_Tab 24'!$A$10</c:f>
              <c:strCache>
                <c:ptCount val="1"/>
                <c:pt idx="0">
                  <c:v>aucun salarié</c:v>
                </c:pt>
              </c:strCache>
            </c:strRef>
          </c:tx>
          <c:spPr>
            <a:solidFill>
              <a:schemeClr val="accent6"/>
            </a:solidFill>
            <a:ln>
              <a:noFill/>
            </a:ln>
            <a:effectLst/>
          </c:spPr>
          <c:invertIfNegative val="0"/>
          <c:cat>
            <c:strRef>
              <c:f>'Q15_Tab 24'!$B$4:$G$4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'Q15_Tab 24'!$B$10:$G$10</c:f>
              <c:numCache>
                <c:formatCode>0.0</c:formatCode>
                <c:ptCount val="6"/>
                <c:pt idx="0">
                  <c:v>4.7</c:v>
                </c:pt>
                <c:pt idx="1">
                  <c:v>35.799999999999997</c:v>
                </c:pt>
                <c:pt idx="2">
                  <c:v>52.6</c:v>
                </c:pt>
                <c:pt idx="3">
                  <c:v>20.200000000000003</c:v>
                </c:pt>
                <c:pt idx="4">
                  <c:v>23.799999999999997</c:v>
                </c:pt>
                <c:pt idx="5">
                  <c:v>97.3</c:v>
                </c:pt>
              </c:numCache>
            </c:numRef>
          </c:val>
          <c:extLst>
            <c:ext xmlns:c16="http://schemas.microsoft.com/office/drawing/2014/chart" uri="{C3380CC4-5D6E-409C-BE32-E72D297353CC}">
              <c16:uniqueId val="{00000005-B779-46FB-BF14-00CA2A8CC189}"/>
            </c:ext>
          </c:extLst>
        </c:ser>
        <c:dLbls>
          <c:showLegendKey val="0"/>
          <c:showVal val="0"/>
          <c:showCatName val="0"/>
          <c:showSerName val="0"/>
          <c:showPercent val="0"/>
          <c:showBubbleSize val="0"/>
        </c:dLbls>
        <c:gapWidth val="150"/>
        <c:overlap val="100"/>
        <c:axId val="47971992"/>
        <c:axId val="47972976"/>
      </c:barChart>
      <c:catAx>
        <c:axId val="47971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7972976"/>
        <c:crosses val="autoZero"/>
        <c:auto val="1"/>
        <c:lblAlgn val="ctr"/>
        <c:lblOffset val="100"/>
        <c:noMultiLvlLbl val="0"/>
      </c:catAx>
      <c:valAx>
        <c:axId val="479729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971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Travail sur site ou sur chantiers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'Q15_Tab 25-30'!$A$5</c:f>
              <c:strCache>
                <c:ptCount val="1"/>
                <c:pt idx="0">
                  <c:v>la plupart des salariés (80 % ou plus)</c:v>
                </c:pt>
              </c:strCache>
            </c:strRef>
          </c:tx>
          <c:spPr>
            <a:solidFill>
              <a:schemeClr val="accent1"/>
            </a:solidFill>
            <a:ln>
              <a:noFill/>
            </a:ln>
            <a:effectLst/>
          </c:spPr>
          <c:invertIfNegative val="0"/>
          <c:cat>
            <c:strRef>
              <c:f>'Q15_Tab 25-30'!$B$4:$H$4</c:f>
              <c:strCache>
                <c:ptCount val="7"/>
                <c:pt idx="0">
                  <c:v>Ensemble</c:v>
                </c:pt>
                <c:pt idx="1">
                  <c:v>10 - 19</c:v>
                </c:pt>
                <c:pt idx="2">
                  <c:v>20 - 49</c:v>
                </c:pt>
                <c:pt idx="3">
                  <c:v>50 - 99</c:v>
                </c:pt>
                <c:pt idx="4">
                  <c:v>100 - 249</c:v>
                </c:pt>
                <c:pt idx="5">
                  <c:v>250 - 499</c:v>
                </c:pt>
                <c:pt idx="6">
                  <c:v>500 et +</c:v>
                </c:pt>
              </c:strCache>
            </c:strRef>
          </c:cat>
          <c:val>
            <c:numRef>
              <c:f>'Q15_Tab 25-30'!$B$5:$H$5</c:f>
              <c:numCache>
                <c:formatCode>0.0</c:formatCode>
                <c:ptCount val="7"/>
                <c:pt idx="0">
                  <c:v>56.699999999999996</c:v>
                </c:pt>
                <c:pt idx="1">
                  <c:v>70.5</c:v>
                </c:pt>
                <c:pt idx="2">
                  <c:v>67.900000000000006</c:v>
                </c:pt>
                <c:pt idx="3">
                  <c:v>65.600000000000009</c:v>
                </c:pt>
                <c:pt idx="4">
                  <c:v>61.1</c:v>
                </c:pt>
                <c:pt idx="5">
                  <c:v>55.800000000000004</c:v>
                </c:pt>
                <c:pt idx="6">
                  <c:v>44.800000000000004</c:v>
                </c:pt>
              </c:numCache>
            </c:numRef>
          </c:val>
          <c:extLst>
            <c:ext xmlns:c16="http://schemas.microsoft.com/office/drawing/2014/chart" uri="{C3380CC4-5D6E-409C-BE32-E72D297353CC}">
              <c16:uniqueId val="{00000000-2CA5-453F-AEAC-364B47ED89C8}"/>
            </c:ext>
          </c:extLst>
        </c:ser>
        <c:ser>
          <c:idx val="1"/>
          <c:order val="1"/>
          <c:tx>
            <c:strRef>
              <c:f>'Q15_Tab 25-30'!$A$6</c:f>
              <c:strCache>
                <c:ptCount val="1"/>
                <c:pt idx="0">
                  <c:v>une majorité des salariés (50 % à 79 %)</c:v>
                </c:pt>
              </c:strCache>
            </c:strRef>
          </c:tx>
          <c:spPr>
            <a:solidFill>
              <a:schemeClr val="accent2"/>
            </a:solidFill>
            <a:ln>
              <a:noFill/>
            </a:ln>
            <a:effectLst/>
          </c:spPr>
          <c:invertIfNegative val="0"/>
          <c:cat>
            <c:strRef>
              <c:f>'Q15_Tab 25-30'!$B$4:$H$4</c:f>
              <c:strCache>
                <c:ptCount val="7"/>
                <c:pt idx="0">
                  <c:v>Ensemble</c:v>
                </c:pt>
                <c:pt idx="1">
                  <c:v>10 - 19</c:v>
                </c:pt>
                <c:pt idx="2">
                  <c:v>20 - 49</c:v>
                </c:pt>
                <c:pt idx="3">
                  <c:v>50 - 99</c:v>
                </c:pt>
                <c:pt idx="4">
                  <c:v>100 - 249</c:v>
                </c:pt>
                <c:pt idx="5">
                  <c:v>250 - 499</c:v>
                </c:pt>
                <c:pt idx="6">
                  <c:v>500 et +</c:v>
                </c:pt>
              </c:strCache>
            </c:strRef>
          </c:cat>
          <c:val>
            <c:numRef>
              <c:f>'Q15_Tab 25-30'!$B$6:$H$6</c:f>
              <c:numCache>
                <c:formatCode>0.0</c:formatCode>
                <c:ptCount val="7"/>
                <c:pt idx="0">
                  <c:v>16.3</c:v>
                </c:pt>
                <c:pt idx="1">
                  <c:v>8.2000000000000011</c:v>
                </c:pt>
                <c:pt idx="2">
                  <c:v>10.9</c:v>
                </c:pt>
                <c:pt idx="3">
                  <c:v>12.9</c:v>
                </c:pt>
                <c:pt idx="4">
                  <c:v>14.899999999999999</c:v>
                </c:pt>
                <c:pt idx="5">
                  <c:v>16.5</c:v>
                </c:pt>
                <c:pt idx="6">
                  <c:v>22</c:v>
                </c:pt>
              </c:numCache>
            </c:numRef>
          </c:val>
          <c:extLst>
            <c:ext xmlns:c16="http://schemas.microsoft.com/office/drawing/2014/chart" uri="{C3380CC4-5D6E-409C-BE32-E72D297353CC}">
              <c16:uniqueId val="{00000001-2CA5-453F-AEAC-364B47ED89C8}"/>
            </c:ext>
          </c:extLst>
        </c:ser>
        <c:ser>
          <c:idx val="2"/>
          <c:order val="2"/>
          <c:tx>
            <c:strRef>
              <c:f>'Q15_Tab 25-30'!$A$7</c:f>
              <c:strCache>
                <c:ptCount val="1"/>
                <c:pt idx="0">
                  <c:v>un nombre conséquent de salariés (30 % à 49 %)</c:v>
                </c:pt>
              </c:strCache>
            </c:strRef>
          </c:tx>
          <c:spPr>
            <a:solidFill>
              <a:schemeClr val="accent3"/>
            </a:solidFill>
            <a:ln>
              <a:noFill/>
            </a:ln>
            <a:effectLst/>
          </c:spPr>
          <c:invertIfNegative val="0"/>
          <c:cat>
            <c:strRef>
              <c:f>'Q15_Tab 25-30'!$B$4:$H$4</c:f>
              <c:strCache>
                <c:ptCount val="7"/>
                <c:pt idx="0">
                  <c:v>Ensemble</c:v>
                </c:pt>
                <c:pt idx="1">
                  <c:v>10 - 19</c:v>
                </c:pt>
                <c:pt idx="2">
                  <c:v>20 - 49</c:v>
                </c:pt>
                <c:pt idx="3">
                  <c:v>50 - 99</c:v>
                </c:pt>
                <c:pt idx="4">
                  <c:v>100 - 249</c:v>
                </c:pt>
                <c:pt idx="5">
                  <c:v>250 - 499</c:v>
                </c:pt>
                <c:pt idx="6">
                  <c:v>500 et +</c:v>
                </c:pt>
              </c:strCache>
            </c:strRef>
          </c:cat>
          <c:val>
            <c:numRef>
              <c:f>'Q15_Tab 25-30'!$B$7:$H$7</c:f>
              <c:numCache>
                <c:formatCode>0.0</c:formatCode>
                <c:ptCount val="7"/>
                <c:pt idx="0">
                  <c:v>8.9</c:v>
                </c:pt>
                <c:pt idx="1">
                  <c:v>4.5999999999999996</c:v>
                </c:pt>
                <c:pt idx="2">
                  <c:v>5.0999999999999996</c:v>
                </c:pt>
                <c:pt idx="3">
                  <c:v>5.5</c:v>
                </c:pt>
                <c:pt idx="4">
                  <c:v>7.1</c:v>
                </c:pt>
                <c:pt idx="5">
                  <c:v>9.4</c:v>
                </c:pt>
                <c:pt idx="6">
                  <c:v>13</c:v>
                </c:pt>
              </c:numCache>
            </c:numRef>
          </c:val>
          <c:extLst>
            <c:ext xmlns:c16="http://schemas.microsoft.com/office/drawing/2014/chart" uri="{C3380CC4-5D6E-409C-BE32-E72D297353CC}">
              <c16:uniqueId val="{00000002-2CA5-453F-AEAC-364B47ED89C8}"/>
            </c:ext>
          </c:extLst>
        </c:ser>
        <c:ser>
          <c:idx val="3"/>
          <c:order val="3"/>
          <c:tx>
            <c:strRef>
              <c:f>'Q15_Tab 25-30'!$A$8</c:f>
              <c:strCache>
                <c:ptCount val="1"/>
                <c:pt idx="0">
                  <c:v>certains salariés (10 % à 29 %)</c:v>
                </c:pt>
              </c:strCache>
            </c:strRef>
          </c:tx>
          <c:spPr>
            <a:solidFill>
              <a:schemeClr val="accent4"/>
            </a:solidFill>
            <a:ln>
              <a:noFill/>
            </a:ln>
            <a:effectLst/>
          </c:spPr>
          <c:invertIfNegative val="0"/>
          <c:cat>
            <c:strRef>
              <c:f>'Q15_Tab 25-30'!$B$4:$H$4</c:f>
              <c:strCache>
                <c:ptCount val="7"/>
                <c:pt idx="0">
                  <c:v>Ensemble</c:v>
                </c:pt>
                <c:pt idx="1">
                  <c:v>10 - 19</c:v>
                </c:pt>
                <c:pt idx="2">
                  <c:v>20 - 49</c:v>
                </c:pt>
                <c:pt idx="3">
                  <c:v>50 - 99</c:v>
                </c:pt>
                <c:pt idx="4">
                  <c:v>100 - 249</c:v>
                </c:pt>
                <c:pt idx="5">
                  <c:v>250 - 499</c:v>
                </c:pt>
                <c:pt idx="6">
                  <c:v>500 et +</c:v>
                </c:pt>
              </c:strCache>
            </c:strRef>
          </c:cat>
          <c:val>
            <c:numRef>
              <c:f>'Q15_Tab 25-30'!$B$8:$H$8</c:f>
              <c:numCache>
                <c:formatCode>0.0</c:formatCode>
                <c:ptCount val="7"/>
                <c:pt idx="0">
                  <c:v>7.3999999999999995</c:v>
                </c:pt>
                <c:pt idx="1">
                  <c:v>4</c:v>
                </c:pt>
                <c:pt idx="2">
                  <c:v>4.8</c:v>
                </c:pt>
                <c:pt idx="3">
                  <c:v>5.0999999999999996</c:v>
                </c:pt>
                <c:pt idx="4">
                  <c:v>6.2</c:v>
                </c:pt>
                <c:pt idx="5">
                  <c:v>7.6</c:v>
                </c:pt>
                <c:pt idx="6">
                  <c:v>10.5</c:v>
                </c:pt>
              </c:numCache>
            </c:numRef>
          </c:val>
          <c:extLst>
            <c:ext xmlns:c16="http://schemas.microsoft.com/office/drawing/2014/chart" uri="{C3380CC4-5D6E-409C-BE32-E72D297353CC}">
              <c16:uniqueId val="{00000003-2CA5-453F-AEAC-364B47ED89C8}"/>
            </c:ext>
          </c:extLst>
        </c:ser>
        <c:ser>
          <c:idx val="4"/>
          <c:order val="4"/>
          <c:tx>
            <c:strRef>
              <c:f>'Q15_Tab 25-30'!$A$9</c:f>
              <c:strCache>
                <c:ptCount val="1"/>
                <c:pt idx="0">
                  <c:v>quelques salariés (moins de 10 %)</c:v>
                </c:pt>
              </c:strCache>
            </c:strRef>
          </c:tx>
          <c:spPr>
            <a:solidFill>
              <a:schemeClr val="accent5"/>
            </a:solidFill>
            <a:ln>
              <a:noFill/>
            </a:ln>
            <a:effectLst/>
          </c:spPr>
          <c:invertIfNegative val="0"/>
          <c:cat>
            <c:strRef>
              <c:f>'Q15_Tab 25-30'!$B$4:$H$4</c:f>
              <c:strCache>
                <c:ptCount val="7"/>
                <c:pt idx="0">
                  <c:v>Ensemble</c:v>
                </c:pt>
                <c:pt idx="1">
                  <c:v>10 - 19</c:v>
                </c:pt>
                <c:pt idx="2">
                  <c:v>20 - 49</c:v>
                </c:pt>
                <c:pt idx="3">
                  <c:v>50 - 99</c:v>
                </c:pt>
                <c:pt idx="4">
                  <c:v>100 - 249</c:v>
                </c:pt>
                <c:pt idx="5">
                  <c:v>250 - 499</c:v>
                </c:pt>
                <c:pt idx="6">
                  <c:v>500 et +</c:v>
                </c:pt>
              </c:strCache>
            </c:strRef>
          </c:cat>
          <c:val>
            <c:numRef>
              <c:f>'Q15_Tab 25-30'!$B$9:$H$9</c:f>
              <c:numCache>
                <c:formatCode>0.0</c:formatCode>
                <c:ptCount val="7"/>
                <c:pt idx="0">
                  <c:v>6</c:v>
                </c:pt>
                <c:pt idx="1">
                  <c:v>3.5000000000000004</c:v>
                </c:pt>
                <c:pt idx="2">
                  <c:v>4.3</c:v>
                </c:pt>
                <c:pt idx="3">
                  <c:v>5.5</c:v>
                </c:pt>
                <c:pt idx="4">
                  <c:v>5</c:v>
                </c:pt>
                <c:pt idx="5">
                  <c:v>6</c:v>
                </c:pt>
                <c:pt idx="6">
                  <c:v>7.8</c:v>
                </c:pt>
              </c:numCache>
            </c:numRef>
          </c:val>
          <c:extLst>
            <c:ext xmlns:c16="http://schemas.microsoft.com/office/drawing/2014/chart" uri="{C3380CC4-5D6E-409C-BE32-E72D297353CC}">
              <c16:uniqueId val="{00000004-2CA5-453F-AEAC-364B47ED89C8}"/>
            </c:ext>
          </c:extLst>
        </c:ser>
        <c:ser>
          <c:idx val="5"/>
          <c:order val="5"/>
          <c:tx>
            <c:strRef>
              <c:f>'Q15_Tab 25-30'!$A$10</c:f>
              <c:strCache>
                <c:ptCount val="1"/>
                <c:pt idx="0">
                  <c:v>aucun salarié</c:v>
                </c:pt>
              </c:strCache>
            </c:strRef>
          </c:tx>
          <c:spPr>
            <a:solidFill>
              <a:schemeClr val="accent6"/>
            </a:solidFill>
            <a:ln>
              <a:noFill/>
            </a:ln>
            <a:effectLst/>
          </c:spPr>
          <c:invertIfNegative val="0"/>
          <c:cat>
            <c:strRef>
              <c:f>'Q15_Tab 25-30'!$B$4:$H$4</c:f>
              <c:strCache>
                <c:ptCount val="7"/>
                <c:pt idx="0">
                  <c:v>Ensemble</c:v>
                </c:pt>
                <c:pt idx="1">
                  <c:v>10 - 19</c:v>
                </c:pt>
                <c:pt idx="2">
                  <c:v>20 - 49</c:v>
                </c:pt>
                <c:pt idx="3">
                  <c:v>50 - 99</c:v>
                </c:pt>
                <c:pt idx="4">
                  <c:v>100 - 249</c:v>
                </c:pt>
                <c:pt idx="5">
                  <c:v>250 - 499</c:v>
                </c:pt>
                <c:pt idx="6">
                  <c:v>500 et +</c:v>
                </c:pt>
              </c:strCache>
            </c:strRef>
          </c:cat>
          <c:val>
            <c:numRef>
              <c:f>'Q15_Tab 25-30'!$B$10:$H$10</c:f>
              <c:numCache>
                <c:formatCode>0.0</c:formatCode>
                <c:ptCount val="7"/>
                <c:pt idx="0">
                  <c:v>4.7</c:v>
                </c:pt>
                <c:pt idx="1">
                  <c:v>9.3000000000000007</c:v>
                </c:pt>
                <c:pt idx="2">
                  <c:v>7.1</c:v>
                </c:pt>
                <c:pt idx="3">
                  <c:v>5.3</c:v>
                </c:pt>
                <c:pt idx="4">
                  <c:v>5.7</c:v>
                </c:pt>
                <c:pt idx="5">
                  <c:v>4.8</c:v>
                </c:pt>
                <c:pt idx="6">
                  <c:v>1.9</c:v>
                </c:pt>
              </c:numCache>
            </c:numRef>
          </c:val>
          <c:extLst>
            <c:ext xmlns:c16="http://schemas.microsoft.com/office/drawing/2014/chart" uri="{C3380CC4-5D6E-409C-BE32-E72D297353CC}">
              <c16:uniqueId val="{00000005-2CA5-453F-AEAC-364B47ED89C8}"/>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Télétravail ou travail à distance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'Q15_Tab 25-30'!$A$41</c:f>
              <c:strCache>
                <c:ptCount val="1"/>
                <c:pt idx="0">
                  <c:v>la plupart des salariés (80 % ou plus)</c:v>
                </c:pt>
              </c:strCache>
            </c:strRef>
          </c:tx>
          <c:spPr>
            <a:solidFill>
              <a:schemeClr val="accent1"/>
            </a:solidFill>
            <a:ln>
              <a:noFill/>
            </a:ln>
            <a:effectLst/>
          </c:spPr>
          <c:invertIfNegative val="0"/>
          <c:cat>
            <c:strRef>
              <c:f>'Q15_Tab 25-30'!$B$40:$H$40</c:f>
              <c:strCache>
                <c:ptCount val="7"/>
                <c:pt idx="0">
                  <c:v>Ensemble</c:v>
                </c:pt>
                <c:pt idx="1">
                  <c:v>10 - 19</c:v>
                </c:pt>
                <c:pt idx="2">
                  <c:v>20 - 49</c:v>
                </c:pt>
                <c:pt idx="3">
                  <c:v>50 - 99</c:v>
                </c:pt>
                <c:pt idx="4">
                  <c:v>100 - 249</c:v>
                </c:pt>
                <c:pt idx="5">
                  <c:v>250 - 499</c:v>
                </c:pt>
                <c:pt idx="6">
                  <c:v>500 et +</c:v>
                </c:pt>
              </c:strCache>
            </c:strRef>
          </c:cat>
          <c:val>
            <c:numRef>
              <c:f>'Q15_Tab 25-30'!$B$41:$H$41</c:f>
              <c:numCache>
                <c:formatCode>0.0</c:formatCode>
                <c:ptCount val="7"/>
                <c:pt idx="0">
                  <c:v>5.8999999999999995</c:v>
                </c:pt>
                <c:pt idx="1">
                  <c:v>3.9</c:v>
                </c:pt>
                <c:pt idx="2">
                  <c:v>3.9</c:v>
                </c:pt>
                <c:pt idx="3">
                  <c:v>5.5</c:v>
                </c:pt>
                <c:pt idx="4">
                  <c:v>5.6000000000000005</c:v>
                </c:pt>
                <c:pt idx="5">
                  <c:v>7.6</c:v>
                </c:pt>
                <c:pt idx="6">
                  <c:v>6.9</c:v>
                </c:pt>
              </c:numCache>
            </c:numRef>
          </c:val>
          <c:extLst>
            <c:ext xmlns:c16="http://schemas.microsoft.com/office/drawing/2014/chart" uri="{C3380CC4-5D6E-409C-BE32-E72D297353CC}">
              <c16:uniqueId val="{00000000-A9E8-484C-9083-93371F13669A}"/>
            </c:ext>
          </c:extLst>
        </c:ser>
        <c:ser>
          <c:idx val="1"/>
          <c:order val="1"/>
          <c:tx>
            <c:strRef>
              <c:f>'Q15_Tab 25-30'!$A$42</c:f>
              <c:strCache>
                <c:ptCount val="1"/>
                <c:pt idx="0">
                  <c:v>une majorité des salariés (50 % à 79 %)</c:v>
                </c:pt>
              </c:strCache>
            </c:strRef>
          </c:tx>
          <c:spPr>
            <a:solidFill>
              <a:schemeClr val="accent2"/>
            </a:solidFill>
            <a:ln>
              <a:noFill/>
            </a:ln>
            <a:effectLst/>
          </c:spPr>
          <c:invertIfNegative val="0"/>
          <c:cat>
            <c:strRef>
              <c:f>'Q15_Tab 25-30'!$B$40:$H$40</c:f>
              <c:strCache>
                <c:ptCount val="7"/>
                <c:pt idx="0">
                  <c:v>Ensemble</c:v>
                </c:pt>
                <c:pt idx="1">
                  <c:v>10 - 19</c:v>
                </c:pt>
                <c:pt idx="2">
                  <c:v>20 - 49</c:v>
                </c:pt>
                <c:pt idx="3">
                  <c:v>50 - 99</c:v>
                </c:pt>
                <c:pt idx="4">
                  <c:v>100 - 249</c:v>
                </c:pt>
                <c:pt idx="5">
                  <c:v>250 - 499</c:v>
                </c:pt>
                <c:pt idx="6">
                  <c:v>500 et +</c:v>
                </c:pt>
              </c:strCache>
            </c:strRef>
          </c:cat>
          <c:val>
            <c:numRef>
              <c:f>'Q15_Tab 25-30'!$B$42:$H$42</c:f>
              <c:numCache>
                <c:formatCode>0.0</c:formatCode>
                <c:ptCount val="7"/>
                <c:pt idx="0">
                  <c:v>8.3000000000000007</c:v>
                </c:pt>
                <c:pt idx="1">
                  <c:v>3.1</c:v>
                </c:pt>
                <c:pt idx="2">
                  <c:v>4.3</c:v>
                </c:pt>
                <c:pt idx="3">
                  <c:v>6</c:v>
                </c:pt>
                <c:pt idx="4">
                  <c:v>6.5</c:v>
                </c:pt>
                <c:pt idx="5">
                  <c:v>8.4</c:v>
                </c:pt>
                <c:pt idx="6">
                  <c:v>12.6</c:v>
                </c:pt>
              </c:numCache>
            </c:numRef>
          </c:val>
          <c:extLst>
            <c:ext xmlns:c16="http://schemas.microsoft.com/office/drawing/2014/chart" uri="{C3380CC4-5D6E-409C-BE32-E72D297353CC}">
              <c16:uniqueId val="{00000001-A9E8-484C-9083-93371F13669A}"/>
            </c:ext>
          </c:extLst>
        </c:ser>
        <c:ser>
          <c:idx val="2"/>
          <c:order val="2"/>
          <c:tx>
            <c:strRef>
              <c:f>'Q15_Tab 25-30'!$A$43</c:f>
              <c:strCache>
                <c:ptCount val="1"/>
                <c:pt idx="0">
                  <c:v>un nombre conséquent de salariés (30 % à 49 %)</c:v>
                </c:pt>
              </c:strCache>
            </c:strRef>
          </c:tx>
          <c:spPr>
            <a:solidFill>
              <a:schemeClr val="accent3"/>
            </a:solidFill>
            <a:ln>
              <a:noFill/>
            </a:ln>
            <a:effectLst/>
          </c:spPr>
          <c:invertIfNegative val="0"/>
          <c:cat>
            <c:strRef>
              <c:f>'Q15_Tab 25-30'!$B$40:$H$40</c:f>
              <c:strCache>
                <c:ptCount val="7"/>
                <c:pt idx="0">
                  <c:v>Ensemble</c:v>
                </c:pt>
                <c:pt idx="1">
                  <c:v>10 - 19</c:v>
                </c:pt>
                <c:pt idx="2">
                  <c:v>20 - 49</c:v>
                </c:pt>
                <c:pt idx="3">
                  <c:v>50 - 99</c:v>
                </c:pt>
                <c:pt idx="4">
                  <c:v>100 - 249</c:v>
                </c:pt>
                <c:pt idx="5">
                  <c:v>250 - 499</c:v>
                </c:pt>
                <c:pt idx="6">
                  <c:v>500 et +</c:v>
                </c:pt>
              </c:strCache>
            </c:strRef>
          </c:cat>
          <c:val>
            <c:numRef>
              <c:f>'Q15_Tab 25-30'!$B$43:$H$43</c:f>
              <c:numCache>
                <c:formatCode>0.0</c:formatCode>
                <c:ptCount val="7"/>
                <c:pt idx="0">
                  <c:v>8.4</c:v>
                </c:pt>
                <c:pt idx="1">
                  <c:v>3.1</c:v>
                </c:pt>
                <c:pt idx="2">
                  <c:v>3.8</c:v>
                </c:pt>
                <c:pt idx="3">
                  <c:v>4.3999999999999995</c:v>
                </c:pt>
                <c:pt idx="4">
                  <c:v>6.6000000000000005</c:v>
                </c:pt>
                <c:pt idx="5">
                  <c:v>8.1</c:v>
                </c:pt>
                <c:pt idx="6">
                  <c:v>13.5</c:v>
                </c:pt>
              </c:numCache>
            </c:numRef>
          </c:val>
          <c:extLst>
            <c:ext xmlns:c16="http://schemas.microsoft.com/office/drawing/2014/chart" uri="{C3380CC4-5D6E-409C-BE32-E72D297353CC}">
              <c16:uniqueId val="{00000002-A9E8-484C-9083-93371F13669A}"/>
            </c:ext>
          </c:extLst>
        </c:ser>
        <c:ser>
          <c:idx val="3"/>
          <c:order val="3"/>
          <c:tx>
            <c:strRef>
              <c:f>'Q15_Tab 25-30'!$A$44</c:f>
              <c:strCache>
                <c:ptCount val="1"/>
                <c:pt idx="0">
                  <c:v>certains salariés (10 % à 29 %)</c:v>
                </c:pt>
              </c:strCache>
            </c:strRef>
          </c:tx>
          <c:spPr>
            <a:solidFill>
              <a:schemeClr val="accent4"/>
            </a:solidFill>
            <a:ln>
              <a:noFill/>
            </a:ln>
            <a:effectLst/>
          </c:spPr>
          <c:invertIfNegative val="0"/>
          <c:cat>
            <c:strRef>
              <c:f>'Q15_Tab 25-30'!$B$40:$H$40</c:f>
              <c:strCache>
                <c:ptCount val="7"/>
                <c:pt idx="0">
                  <c:v>Ensemble</c:v>
                </c:pt>
                <c:pt idx="1">
                  <c:v>10 - 19</c:v>
                </c:pt>
                <c:pt idx="2">
                  <c:v>20 - 49</c:v>
                </c:pt>
                <c:pt idx="3">
                  <c:v>50 - 99</c:v>
                </c:pt>
                <c:pt idx="4">
                  <c:v>100 - 249</c:v>
                </c:pt>
                <c:pt idx="5">
                  <c:v>250 - 499</c:v>
                </c:pt>
                <c:pt idx="6">
                  <c:v>500 et +</c:v>
                </c:pt>
              </c:strCache>
            </c:strRef>
          </c:cat>
          <c:val>
            <c:numRef>
              <c:f>'Q15_Tab 25-30'!$B$44:$H$44</c:f>
              <c:numCache>
                <c:formatCode>0.0</c:formatCode>
                <c:ptCount val="7"/>
                <c:pt idx="0">
                  <c:v>11.600000000000001</c:v>
                </c:pt>
                <c:pt idx="1">
                  <c:v>5.3</c:v>
                </c:pt>
                <c:pt idx="2">
                  <c:v>5.8999999999999995</c:v>
                </c:pt>
                <c:pt idx="3">
                  <c:v>6.9</c:v>
                </c:pt>
                <c:pt idx="4">
                  <c:v>11.200000000000001</c:v>
                </c:pt>
                <c:pt idx="5">
                  <c:v>13</c:v>
                </c:pt>
                <c:pt idx="6">
                  <c:v>16.5</c:v>
                </c:pt>
              </c:numCache>
            </c:numRef>
          </c:val>
          <c:extLst>
            <c:ext xmlns:c16="http://schemas.microsoft.com/office/drawing/2014/chart" uri="{C3380CC4-5D6E-409C-BE32-E72D297353CC}">
              <c16:uniqueId val="{00000003-A9E8-484C-9083-93371F13669A}"/>
            </c:ext>
          </c:extLst>
        </c:ser>
        <c:ser>
          <c:idx val="4"/>
          <c:order val="4"/>
          <c:tx>
            <c:strRef>
              <c:f>'Q15_Tab 25-30'!$A$45</c:f>
              <c:strCache>
                <c:ptCount val="1"/>
                <c:pt idx="0">
                  <c:v>quelques salariés (moins de 10 %)</c:v>
                </c:pt>
              </c:strCache>
            </c:strRef>
          </c:tx>
          <c:spPr>
            <a:solidFill>
              <a:schemeClr val="accent5"/>
            </a:solidFill>
            <a:ln>
              <a:noFill/>
            </a:ln>
            <a:effectLst/>
          </c:spPr>
          <c:invertIfNegative val="0"/>
          <c:cat>
            <c:strRef>
              <c:f>'Q15_Tab 25-30'!$B$40:$H$40</c:f>
              <c:strCache>
                <c:ptCount val="7"/>
                <c:pt idx="0">
                  <c:v>Ensemble</c:v>
                </c:pt>
                <c:pt idx="1">
                  <c:v>10 - 19</c:v>
                </c:pt>
                <c:pt idx="2">
                  <c:v>20 - 49</c:v>
                </c:pt>
                <c:pt idx="3">
                  <c:v>50 - 99</c:v>
                </c:pt>
                <c:pt idx="4">
                  <c:v>100 - 249</c:v>
                </c:pt>
                <c:pt idx="5">
                  <c:v>250 - 499</c:v>
                </c:pt>
                <c:pt idx="6">
                  <c:v>500 et +</c:v>
                </c:pt>
              </c:strCache>
            </c:strRef>
          </c:cat>
          <c:val>
            <c:numRef>
              <c:f>'Q15_Tab 25-30'!$B$45:$H$45</c:f>
              <c:numCache>
                <c:formatCode>0.0</c:formatCode>
                <c:ptCount val="7"/>
                <c:pt idx="0">
                  <c:v>30.099999999999998</c:v>
                </c:pt>
                <c:pt idx="1">
                  <c:v>14.2</c:v>
                </c:pt>
                <c:pt idx="2">
                  <c:v>21.3</c:v>
                </c:pt>
                <c:pt idx="3">
                  <c:v>25.900000000000002</c:v>
                </c:pt>
                <c:pt idx="4">
                  <c:v>34.4</c:v>
                </c:pt>
                <c:pt idx="5">
                  <c:v>34.200000000000003</c:v>
                </c:pt>
                <c:pt idx="6">
                  <c:v>36.6</c:v>
                </c:pt>
              </c:numCache>
            </c:numRef>
          </c:val>
          <c:extLst>
            <c:ext xmlns:c16="http://schemas.microsoft.com/office/drawing/2014/chart" uri="{C3380CC4-5D6E-409C-BE32-E72D297353CC}">
              <c16:uniqueId val="{00000004-A9E8-484C-9083-93371F13669A}"/>
            </c:ext>
          </c:extLst>
        </c:ser>
        <c:ser>
          <c:idx val="5"/>
          <c:order val="5"/>
          <c:tx>
            <c:strRef>
              <c:f>'Q15_Tab 25-30'!$A$46</c:f>
              <c:strCache>
                <c:ptCount val="1"/>
                <c:pt idx="0">
                  <c:v>aucun salarié</c:v>
                </c:pt>
              </c:strCache>
            </c:strRef>
          </c:tx>
          <c:spPr>
            <a:solidFill>
              <a:schemeClr val="accent6"/>
            </a:solidFill>
            <a:ln>
              <a:noFill/>
            </a:ln>
            <a:effectLst/>
          </c:spPr>
          <c:invertIfNegative val="0"/>
          <c:cat>
            <c:strRef>
              <c:f>'Q15_Tab 25-30'!$B$40:$H$40</c:f>
              <c:strCache>
                <c:ptCount val="7"/>
                <c:pt idx="0">
                  <c:v>Ensemble</c:v>
                </c:pt>
                <c:pt idx="1">
                  <c:v>10 - 19</c:v>
                </c:pt>
                <c:pt idx="2">
                  <c:v>20 - 49</c:v>
                </c:pt>
                <c:pt idx="3">
                  <c:v>50 - 99</c:v>
                </c:pt>
                <c:pt idx="4">
                  <c:v>100 - 249</c:v>
                </c:pt>
                <c:pt idx="5">
                  <c:v>250 - 499</c:v>
                </c:pt>
                <c:pt idx="6">
                  <c:v>500 et +</c:v>
                </c:pt>
              </c:strCache>
            </c:strRef>
          </c:cat>
          <c:val>
            <c:numRef>
              <c:f>'Q15_Tab 25-30'!$B$46:$H$46</c:f>
              <c:numCache>
                <c:formatCode>0.0</c:formatCode>
                <c:ptCount val="7"/>
                <c:pt idx="0">
                  <c:v>35.799999999999997</c:v>
                </c:pt>
                <c:pt idx="1">
                  <c:v>70.399999999999991</c:v>
                </c:pt>
                <c:pt idx="2">
                  <c:v>60.8</c:v>
                </c:pt>
                <c:pt idx="3">
                  <c:v>51.4</c:v>
                </c:pt>
                <c:pt idx="4">
                  <c:v>35.699999999999996</c:v>
                </c:pt>
                <c:pt idx="5">
                  <c:v>28.599999999999998</c:v>
                </c:pt>
                <c:pt idx="6">
                  <c:v>13.8</c:v>
                </c:pt>
              </c:numCache>
            </c:numRef>
          </c:val>
          <c:extLst>
            <c:ext xmlns:c16="http://schemas.microsoft.com/office/drawing/2014/chart" uri="{C3380CC4-5D6E-409C-BE32-E72D297353CC}">
              <c16:uniqueId val="{00000005-A9E8-484C-9083-93371F13669A}"/>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Chômage partiel complet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'Q15_Tab 25-30'!$A$78</c:f>
              <c:strCache>
                <c:ptCount val="1"/>
                <c:pt idx="0">
                  <c:v>la plupart des salariés (80 % ou plus)</c:v>
                </c:pt>
              </c:strCache>
            </c:strRef>
          </c:tx>
          <c:spPr>
            <a:solidFill>
              <a:schemeClr val="accent1"/>
            </a:solidFill>
            <a:ln>
              <a:noFill/>
            </a:ln>
            <a:effectLst/>
          </c:spPr>
          <c:invertIfNegative val="0"/>
          <c:cat>
            <c:strRef>
              <c:f>'Q15_Tab 25-30'!$B$77:$H$77</c:f>
              <c:strCache>
                <c:ptCount val="7"/>
                <c:pt idx="0">
                  <c:v>Ensemble</c:v>
                </c:pt>
                <c:pt idx="1">
                  <c:v>10 - 19</c:v>
                </c:pt>
                <c:pt idx="2">
                  <c:v>20 - 49</c:v>
                </c:pt>
                <c:pt idx="3">
                  <c:v>50 - 99</c:v>
                </c:pt>
                <c:pt idx="4">
                  <c:v>100 - 249</c:v>
                </c:pt>
                <c:pt idx="5">
                  <c:v>250 - 499</c:v>
                </c:pt>
                <c:pt idx="6">
                  <c:v>500 et +</c:v>
                </c:pt>
              </c:strCache>
            </c:strRef>
          </c:cat>
          <c:val>
            <c:numRef>
              <c:f>'Q15_Tab 25-30'!$B$78:$H$78</c:f>
              <c:numCache>
                <c:formatCode>0.0</c:formatCode>
                <c:ptCount val="7"/>
                <c:pt idx="0">
                  <c:v>1.4000000000000001</c:v>
                </c:pt>
                <c:pt idx="1">
                  <c:v>3.4000000000000004</c:v>
                </c:pt>
                <c:pt idx="2">
                  <c:v>2.2999999999999998</c:v>
                </c:pt>
                <c:pt idx="3">
                  <c:v>1.2</c:v>
                </c:pt>
                <c:pt idx="4">
                  <c:v>1.3</c:v>
                </c:pt>
                <c:pt idx="5">
                  <c:v>1.0999999999999999</c:v>
                </c:pt>
                <c:pt idx="6">
                  <c:v>0.70000000000000007</c:v>
                </c:pt>
              </c:numCache>
            </c:numRef>
          </c:val>
          <c:extLst>
            <c:ext xmlns:c16="http://schemas.microsoft.com/office/drawing/2014/chart" uri="{C3380CC4-5D6E-409C-BE32-E72D297353CC}">
              <c16:uniqueId val="{00000000-B023-4A56-A453-6BE786E2C06B}"/>
            </c:ext>
          </c:extLst>
        </c:ser>
        <c:ser>
          <c:idx val="1"/>
          <c:order val="1"/>
          <c:tx>
            <c:strRef>
              <c:f>'Q15_Tab 25-30'!$A$79</c:f>
              <c:strCache>
                <c:ptCount val="1"/>
                <c:pt idx="0">
                  <c:v>une majorité des salariés (50 % à 79 %)</c:v>
                </c:pt>
              </c:strCache>
            </c:strRef>
          </c:tx>
          <c:spPr>
            <a:solidFill>
              <a:schemeClr val="accent2"/>
            </a:solidFill>
            <a:ln>
              <a:noFill/>
            </a:ln>
            <a:effectLst/>
          </c:spPr>
          <c:invertIfNegative val="0"/>
          <c:cat>
            <c:strRef>
              <c:f>'Q15_Tab 25-30'!$B$77:$H$77</c:f>
              <c:strCache>
                <c:ptCount val="7"/>
                <c:pt idx="0">
                  <c:v>Ensemble</c:v>
                </c:pt>
                <c:pt idx="1">
                  <c:v>10 - 19</c:v>
                </c:pt>
                <c:pt idx="2">
                  <c:v>20 - 49</c:v>
                </c:pt>
                <c:pt idx="3">
                  <c:v>50 - 99</c:v>
                </c:pt>
                <c:pt idx="4">
                  <c:v>100 - 249</c:v>
                </c:pt>
                <c:pt idx="5">
                  <c:v>250 - 499</c:v>
                </c:pt>
                <c:pt idx="6">
                  <c:v>500 et +</c:v>
                </c:pt>
              </c:strCache>
            </c:strRef>
          </c:cat>
          <c:val>
            <c:numRef>
              <c:f>'Q15_Tab 25-30'!$B$79:$H$79</c:f>
              <c:numCache>
                <c:formatCode>0.0</c:formatCode>
                <c:ptCount val="7"/>
                <c:pt idx="0">
                  <c:v>2.2999999999999998</c:v>
                </c:pt>
                <c:pt idx="1">
                  <c:v>2.1</c:v>
                </c:pt>
                <c:pt idx="2">
                  <c:v>1.7000000000000002</c:v>
                </c:pt>
                <c:pt idx="3">
                  <c:v>1.5</c:v>
                </c:pt>
                <c:pt idx="4">
                  <c:v>1.6</c:v>
                </c:pt>
                <c:pt idx="5">
                  <c:v>2.1</c:v>
                </c:pt>
                <c:pt idx="6">
                  <c:v>3.1</c:v>
                </c:pt>
              </c:numCache>
            </c:numRef>
          </c:val>
          <c:extLst>
            <c:ext xmlns:c16="http://schemas.microsoft.com/office/drawing/2014/chart" uri="{C3380CC4-5D6E-409C-BE32-E72D297353CC}">
              <c16:uniqueId val="{00000001-B023-4A56-A453-6BE786E2C06B}"/>
            </c:ext>
          </c:extLst>
        </c:ser>
        <c:ser>
          <c:idx val="2"/>
          <c:order val="2"/>
          <c:tx>
            <c:strRef>
              <c:f>'Q15_Tab 25-30'!$A$80</c:f>
              <c:strCache>
                <c:ptCount val="1"/>
                <c:pt idx="0">
                  <c:v>un nombre conséquent de salariés (30 % à 49 %)</c:v>
                </c:pt>
              </c:strCache>
            </c:strRef>
          </c:tx>
          <c:spPr>
            <a:solidFill>
              <a:schemeClr val="accent3"/>
            </a:solidFill>
            <a:ln>
              <a:noFill/>
            </a:ln>
            <a:effectLst/>
          </c:spPr>
          <c:invertIfNegative val="0"/>
          <c:cat>
            <c:strRef>
              <c:f>'Q15_Tab 25-30'!$B$77:$H$77</c:f>
              <c:strCache>
                <c:ptCount val="7"/>
                <c:pt idx="0">
                  <c:v>Ensemble</c:v>
                </c:pt>
                <c:pt idx="1">
                  <c:v>10 - 19</c:v>
                </c:pt>
                <c:pt idx="2">
                  <c:v>20 - 49</c:v>
                </c:pt>
                <c:pt idx="3">
                  <c:v>50 - 99</c:v>
                </c:pt>
                <c:pt idx="4">
                  <c:v>100 - 249</c:v>
                </c:pt>
                <c:pt idx="5">
                  <c:v>250 - 499</c:v>
                </c:pt>
                <c:pt idx="6">
                  <c:v>500 et +</c:v>
                </c:pt>
              </c:strCache>
            </c:strRef>
          </c:cat>
          <c:val>
            <c:numRef>
              <c:f>'Q15_Tab 25-30'!$B$80:$H$80</c:f>
              <c:numCache>
                <c:formatCode>0.0</c:formatCode>
                <c:ptCount val="7"/>
                <c:pt idx="0">
                  <c:v>2.6</c:v>
                </c:pt>
                <c:pt idx="1">
                  <c:v>2.6</c:v>
                </c:pt>
                <c:pt idx="2">
                  <c:v>3</c:v>
                </c:pt>
                <c:pt idx="3">
                  <c:v>2</c:v>
                </c:pt>
                <c:pt idx="4">
                  <c:v>2.5</c:v>
                </c:pt>
                <c:pt idx="5">
                  <c:v>3</c:v>
                </c:pt>
                <c:pt idx="6">
                  <c:v>2.5</c:v>
                </c:pt>
              </c:numCache>
            </c:numRef>
          </c:val>
          <c:extLst>
            <c:ext xmlns:c16="http://schemas.microsoft.com/office/drawing/2014/chart" uri="{C3380CC4-5D6E-409C-BE32-E72D297353CC}">
              <c16:uniqueId val="{00000002-B023-4A56-A453-6BE786E2C06B}"/>
            </c:ext>
          </c:extLst>
        </c:ser>
        <c:ser>
          <c:idx val="3"/>
          <c:order val="3"/>
          <c:tx>
            <c:strRef>
              <c:f>'Q15_Tab 25-30'!$A$81</c:f>
              <c:strCache>
                <c:ptCount val="1"/>
                <c:pt idx="0">
                  <c:v>certains salariés (10 % à 29 %)</c:v>
                </c:pt>
              </c:strCache>
            </c:strRef>
          </c:tx>
          <c:spPr>
            <a:solidFill>
              <a:schemeClr val="accent4"/>
            </a:solidFill>
            <a:ln>
              <a:noFill/>
            </a:ln>
            <a:effectLst/>
          </c:spPr>
          <c:invertIfNegative val="0"/>
          <c:cat>
            <c:strRef>
              <c:f>'Q15_Tab 25-30'!$B$77:$H$77</c:f>
              <c:strCache>
                <c:ptCount val="7"/>
                <c:pt idx="0">
                  <c:v>Ensemble</c:v>
                </c:pt>
                <c:pt idx="1">
                  <c:v>10 - 19</c:v>
                </c:pt>
                <c:pt idx="2">
                  <c:v>20 - 49</c:v>
                </c:pt>
                <c:pt idx="3">
                  <c:v>50 - 99</c:v>
                </c:pt>
                <c:pt idx="4">
                  <c:v>100 - 249</c:v>
                </c:pt>
                <c:pt idx="5">
                  <c:v>250 - 499</c:v>
                </c:pt>
                <c:pt idx="6">
                  <c:v>500 et +</c:v>
                </c:pt>
              </c:strCache>
            </c:strRef>
          </c:cat>
          <c:val>
            <c:numRef>
              <c:f>'Q15_Tab 25-30'!$B$81:$H$81</c:f>
              <c:numCache>
                <c:formatCode>0.0</c:formatCode>
                <c:ptCount val="7"/>
                <c:pt idx="0">
                  <c:v>6.6000000000000005</c:v>
                </c:pt>
                <c:pt idx="1">
                  <c:v>5.5</c:v>
                </c:pt>
                <c:pt idx="2">
                  <c:v>5.7</c:v>
                </c:pt>
                <c:pt idx="3">
                  <c:v>6.1</c:v>
                </c:pt>
                <c:pt idx="4">
                  <c:v>7.7</c:v>
                </c:pt>
                <c:pt idx="5">
                  <c:v>8.6</c:v>
                </c:pt>
                <c:pt idx="6">
                  <c:v>6.5</c:v>
                </c:pt>
              </c:numCache>
            </c:numRef>
          </c:val>
          <c:extLst>
            <c:ext xmlns:c16="http://schemas.microsoft.com/office/drawing/2014/chart" uri="{C3380CC4-5D6E-409C-BE32-E72D297353CC}">
              <c16:uniqueId val="{00000003-B023-4A56-A453-6BE786E2C06B}"/>
            </c:ext>
          </c:extLst>
        </c:ser>
        <c:ser>
          <c:idx val="4"/>
          <c:order val="4"/>
          <c:tx>
            <c:strRef>
              <c:f>'Q15_Tab 25-30'!$A$82</c:f>
              <c:strCache>
                <c:ptCount val="1"/>
                <c:pt idx="0">
                  <c:v>quelques salariés (moins de 10 %)</c:v>
                </c:pt>
              </c:strCache>
            </c:strRef>
          </c:tx>
          <c:spPr>
            <a:solidFill>
              <a:schemeClr val="accent5"/>
            </a:solidFill>
            <a:ln>
              <a:noFill/>
            </a:ln>
            <a:effectLst/>
          </c:spPr>
          <c:invertIfNegative val="0"/>
          <c:cat>
            <c:strRef>
              <c:f>'Q15_Tab 25-30'!$B$77:$H$77</c:f>
              <c:strCache>
                <c:ptCount val="7"/>
                <c:pt idx="0">
                  <c:v>Ensemble</c:v>
                </c:pt>
                <c:pt idx="1">
                  <c:v>10 - 19</c:v>
                </c:pt>
                <c:pt idx="2">
                  <c:v>20 - 49</c:v>
                </c:pt>
                <c:pt idx="3">
                  <c:v>50 - 99</c:v>
                </c:pt>
                <c:pt idx="4">
                  <c:v>100 - 249</c:v>
                </c:pt>
                <c:pt idx="5">
                  <c:v>250 - 499</c:v>
                </c:pt>
                <c:pt idx="6">
                  <c:v>500 et +</c:v>
                </c:pt>
              </c:strCache>
            </c:strRef>
          </c:cat>
          <c:val>
            <c:numRef>
              <c:f>'Q15_Tab 25-30'!$B$82:$H$82</c:f>
              <c:numCache>
                <c:formatCode>0.0</c:formatCode>
                <c:ptCount val="7"/>
                <c:pt idx="0">
                  <c:v>34.5</c:v>
                </c:pt>
                <c:pt idx="1">
                  <c:v>14.6</c:v>
                </c:pt>
                <c:pt idx="2">
                  <c:v>24.4</c:v>
                </c:pt>
                <c:pt idx="3">
                  <c:v>30.4</c:v>
                </c:pt>
                <c:pt idx="4">
                  <c:v>37.1</c:v>
                </c:pt>
                <c:pt idx="5">
                  <c:v>41.8</c:v>
                </c:pt>
                <c:pt idx="6">
                  <c:v>42.5</c:v>
                </c:pt>
              </c:numCache>
            </c:numRef>
          </c:val>
          <c:extLst>
            <c:ext xmlns:c16="http://schemas.microsoft.com/office/drawing/2014/chart" uri="{C3380CC4-5D6E-409C-BE32-E72D297353CC}">
              <c16:uniqueId val="{00000004-B023-4A56-A453-6BE786E2C06B}"/>
            </c:ext>
          </c:extLst>
        </c:ser>
        <c:ser>
          <c:idx val="5"/>
          <c:order val="5"/>
          <c:tx>
            <c:strRef>
              <c:f>'Q15_Tab 25-30'!$A$83</c:f>
              <c:strCache>
                <c:ptCount val="1"/>
                <c:pt idx="0">
                  <c:v>aucun salarié</c:v>
                </c:pt>
              </c:strCache>
            </c:strRef>
          </c:tx>
          <c:spPr>
            <a:solidFill>
              <a:schemeClr val="accent6"/>
            </a:solidFill>
            <a:ln>
              <a:noFill/>
            </a:ln>
            <a:effectLst/>
          </c:spPr>
          <c:invertIfNegative val="0"/>
          <c:cat>
            <c:strRef>
              <c:f>'Q15_Tab 25-30'!$B$77:$H$77</c:f>
              <c:strCache>
                <c:ptCount val="7"/>
                <c:pt idx="0">
                  <c:v>Ensemble</c:v>
                </c:pt>
                <c:pt idx="1">
                  <c:v>10 - 19</c:v>
                </c:pt>
                <c:pt idx="2">
                  <c:v>20 - 49</c:v>
                </c:pt>
                <c:pt idx="3">
                  <c:v>50 - 99</c:v>
                </c:pt>
                <c:pt idx="4">
                  <c:v>100 - 249</c:v>
                </c:pt>
                <c:pt idx="5">
                  <c:v>250 - 499</c:v>
                </c:pt>
                <c:pt idx="6">
                  <c:v>500 et +</c:v>
                </c:pt>
              </c:strCache>
            </c:strRef>
          </c:cat>
          <c:val>
            <c:numRef>
              <c:f>'Q15_Tab 25-30'!$B$83:$H$83</c:f>
              <c:numCache>
                <c:formatCode>0.0</c:formatCode>
                <c:ptCount val="7"/>
                <c:pt idx="0">
                  <c:v>52.6</c:v>
                </c:pt>
                <c:pt idx="1">
                  <c:v>71.8</c:v>
                </c:pt>
                <c:pt idx="2">
                  <c:v>62.9</c:v>
                </c:pt>
                <c:pt idx="3">
                  <c:v>58.8</c:v>
                </c:pt>
                <c:pt idx="4">
                  <c:v>49.8</c:v>
                </c:pt>
                <c:pt idx="5">
                  <c:v>43.4</c:v>
                </c:pt>
                <c:pt idx="6">
                  <c:v>44.7</c:v>
                </c:pt>
              </c:numCache>
            </c:numRef>
          </c:val>
          <c:extLst>
            <c:ext xmlns:c16="http://schemas.microsoft.com/office/drawing/2014/chart" uri="{C3380CC4-5D6E-409C-BE32-E72D297353CC}">
              <c16:uniqueId val="{00000005-B023-4A56-A453-6BE786E2C06B}"/>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Arrêt maladie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'Q15_Tab 25-30'!$A$115</c:f>
              <c:strCache>
                <c:ptCount val="1"/>
                <c:pt idx="0">
                  <c:v>la plupart des salariés (80 % ou plus)</c:v>
                </c:pt>
              </c:strCache>
            </c:strRef>
          </c:tx>
          <c:spPr>
            <a:solidFill>
              <a:schemeClr val="accent1"/>
            </a:solidFill>
            <a:ln>
              <a:noFill/>
            </a:ln>
            <a:effectLst/>
          </c:spPr>
          <c:invertIfNegative val="0"/>
          <c:cat>
            <c:strRef>
              <c:f>'Q15_Tab 25-30'!$B$114:$H$114</c:f>
              <c:strCache>
                <c:ptCount val="7"/>
                <c:pt idx="0">
                  <c:v>Ensemble</c:v>
                </c:pt>
                <c:pt idx="1">
                  <c:v>10 - 19</c:v>
                </c:pt>
                <c:pt idx="2">
                  <c:v>20 - 49</c:v>
                </c:pt>
                <c:pt idx="3">
                  <c:v>50 - 99</c:v>
                </c:pt>
                <c:pt idx="4">
                  <c:v>100 - 249</c:v>
                </c:pt>
                <c:pt idx="5">
                  <c:v>250 - 499</c:v>
                </c:pt>
                <c:pt idx="6">
                  <c:v>500 et +</c:v>
                </c:pt>
              </c:strCache>
            </c:strRef>
          </c:cat>
          <c:val>
            <c:numRef>
              <c:f>'Q15_Tab 25-30'!$B$115:$H$115</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C356-4104-8C19-0D99F928AB1E}"/>
            </c:ext>
          </c:extLst>
        </c:ser>
        <c:ser>
          <c:idx val="1"/>
          <c:order val="1"/>
          <c:tx>
            <c:strRef>
              <c:f>'Q15_Tab 25-30'!$A$116</c:f>
              <c:strCache>
                <c:ptCount val="1"/>
                <c:pt idx="0">
                  <c:v>une majorité des salariés (50 % à 79 %)</c:v>
                </c:pt>
              </c:strCache>
            </c:strRef>
          </c:tx>
          <c:spPr>
            <a:solidFill>
              <a:schemeClr val="accent2"/>
            </a:solidFill>
            <a:ln>
              <a:noFill/>
            </a:ln>
            <a:effectLst/>
          </c:spPr>
          <c:invertIfNegative val="0"/>
          <c:cat>
            <c:strRef>
              <c:f>'Q15_Tab 25-30'!$B$114:$H$114</c:f>
              <c:strCache>
                <c:ptCount val="7"/>
                <c:pt idx="0">
                  <c:v>Ensemble</c:v>
                </c:pt>
                <c:pt idx="1">
                  <c:v>10 - 19</c:v>
                </c:pt>
                <c:pt idx="2">
                  <c:v>20 - 49</c:v>
                </c:pt>
                <c:pt idx="3">
                  <c:v>50 - 99</c:v>
                </c:pt>
                <c:pt idx="4">
                  <c:v>100 - 249</c:v>
                </c:pt>
                <c:pt idx="5">
                  <c:v>250 - 499</c:v>
                </c:pt>
                <c:pt idx="6">
                  <c:v>500 et +</c:v>
                </c:pt>
              </c:strCache>
            </c:strRef>
          </c:cat>
          <c:val>
            <c:numRef>
              <c:f>'Q15_Tab 25-30'!$B$116:$H$116</c:f>
              <c:numCache>
                <c:formatCode>0.0</c:formatCode>
                <c:ptCount val="7"/>
                <c:pt idx="0">
                  <c:v>0</c:v>
                </c:pt>
                <c:pt idx="1">
                  <c:v>0</c:v>
                </c:pt>
                <c:pt idx="2">
                  <c:v>0.2</c:v>
                </c:pt>
                <c:pt idx="3">
                  <c:v>0</c:v>
                </c:pt>
                <c:pt idx="4">
                  <c:v>0</c:v>
                </c:pt>
                <c:pt idx="5">
                  <c:v>0</c:v>
                </c:pt>
                <c:pt idx="6">
                  <c:v>0</c:v>
                </c:pt>
              </c:numCache>
            </c:numRef>
          </c:val>
          <c:extLst>
            <c:ext xmlns:c16="http://schemas.microsoft.com/office/drawing/2014/chart" uri="{C3380CC4-5D6E-409C-BE32-E72D297353CC}">
              <c16:uniqueId val="{00000001-C356-4104-8C19-0D99F928AB1E}"/>
            </c:ext>
          </c:extLst>
        </c:ser>
        <c:ser>
          <c:idx val="2"/>
          <c:order val="2"/>
          <c:tx>
            <c:strRef>
              <c:f>'Q15_Tab 25-30'!$A$117</c:f>
              <c:strCache>
                <c:ptCount val="1"/>
                <c:pt idx="0">
                  <c:v>un nombre conséquent de salariés (30 % à 49 %)</c:v>
                </c:pt>
              </c:strCache>
            </c:strRef>
          </c:tx>
          <c:spPr>
            <a:solidFill>
              <a:schemeClr val="accent3"/>
            </a:solidFill>
            <a:ln>
              <a:noFill/>
            </a:ln>
            <a:effectLst/>
          </c:spPr>
          <c:invertIfNegative val="0"/>
          <c:cat>
            <c:strRef>
              <c:f>'Q15_Tab 25-30'!$B$114:$H$114</c:f>
              <c:strCache>
                <c:ptCount val="7"/>
                <c:pt idx="0">
                  <c:v>Ensemble</c:v>
                </c:pt>
                <c:pt idx="1">
                  <c:v>10 - 19</c:v>
                </c:pt>
                <c:pt idx="2">
                  <c:v>20 - 49</c:v>
                </c:pt>
                <c:pt idx="3">
                  <c:v>50 - 99</c:v>
                </c:pt>
                <c:pt idx="4">
                  <c:v>100 - 249</c:v>
                </c:pt>
                <c:pt idx="5">
                  <c:v>250 - 499</c:v>
                </c:pt>
                <c:pt idx="6">
                  <c:v>500 et +</c:v>
                </c:pt>
              </c:strCache>
            </c:strRef>
          </c:cat>
          <c:val>
            <c:numRef>
              <c:f>'Q15_Tab 25-30'!$B$117:$H$117</c:f>
              <c:numCache>
                <c:formatCode>0.0</c:formatCode>
                <c:ptCount val="7"/>
                <c:pt idx="0">
                  <c:v>0.4</c:v>
                </c:pt>
                <c:pt idx="1">
                  <c:v>0.3</c:v>
                </c:pt>
                <c:pt idx="2">
                  <c:v>0.3</c:v>
                </c:pt>
                <c:pt idx="3">
                  <c:v>0.3</c:v>
                </c:pt>
                <c:pt idx="4">
                  <c:v>0.2</c:v>
                </c:pt>
                <c:pt idx="5">
                  <c:v>0.70000000000000007</c:v>
                </c:pt>
                <c:pt idx="6">
                  <c:v>0.5</c:v>
                </c:pt>
              </c:numCache>
            </c:numRef>
          </c:val>
          <c:extLst>
            <c:ext xmlns:c16="http://schemas.microsoft.com/office/drawing/2014/chart" uri="{C3380CC4-5D6E-409C-BE32-E72D297353CC}">
              <c16:uniqueId val="{00000002-C356-4104-8C19-0D99F928AB1E}"/>
            </c:ext>
          </c:extLst>
        </c:ser>
        <c:ser>
          <c:idx val="3"/>
          <c:order val="3"/>
          <c:tx>
            <c:strRef>
              <c:f>'Q15_Tab 25-30'!$A$118</c:f>
              <c:strCache>
                <c:ptCount val="1"/>
                <c:pt idx="0">
                  <c:v>certains salariés (10 % à 29 %)</c:v>
                </c:pt>
              </c:strCache>
            </c:strRef>
          </c:tx>
          <c:spPr>
            <a:solidFill>
              <a:schemeClr val="accent4"/>
            </a:solidFill>
            <a:ln>
              <a:noFill/>
            </a:ln>
            <a:effectLst/>
          </c:spPr>
          <c:invertIfNegative val="0"/>
          <c:cat>
            <c:strRef>
              <c:f>'Q15_Tab 25-30'!$B$114:$H$114</c:f>
              <c:strCache>
                <c:ptCount val="7"/>
                <c:pt idx="0">
                  <c:v>Ensemble</c:v>
                </c:pt>
                <c:pt idx="1">
                  <c:v>10 - 19</c:v>
                </c:pt>
                <c:pt idx="2">
                  <c:v>20 - 49</c:v>
                </c:pt>
                <c:pt idx="3">
                  <c:v>50 - 99</c:v>
                </c:pt>
                <c:pt idx="4">
                  <c:v>100 - 249</c:v>
                </c:pt>
                <c:pt idx="5">
                  <c:v>250 - 499</c:v>
                </c:pt>
                <c:pt idx="6">
                  <c:v>500 et +</c:v>
                </c:pt>
              </c:strCache>
            </c:strRef>
          </c:cat>
          <c:val>
            <c:numRef>
              <c:f>'Q15_Tab 25-30'!$B$118:$H$118</c:f>
              <c:numCache>
                <c:formatCode>0.0</c:formatCode>
                <c:ptCount val="7"/>
                <c:pt idx="0">
                  <c:v>8.7999999999999989</c:v>
                </c:pt>
                <c:pt idx="1">
                  <c:v>3.5999999999999996</c:v>
                </c:pt>
                <c:pt idx="2">
                  <c:v>5</c:v>
                </c:pt>
                <c:pt idx="3">
                  <c:v>7.5</c:v>
                </c:pt>
                <c:pt idx="4">
                  <c:v>8.9</c:v>
                </c:pt>
                <c:pt idx="5">
                  <c:v>11.4</c:v>
                </c:pt>
                <c:pt idx="6">
                  <c:v>11.4</c:v>
                </c:pt>
              </c:numCache>
            </c:numRef>
          </c:val>
          <c:extLst>
            <c:ext xmlns:c16="http://schemas.microsoft.com/office/drawing/2014/chart" uri="{C3380CC4-5D6E-409C-BE32-E72D297353CC}">
              <c16:uniqueId val="{00000003-C356-4104-8C19-0D99F928AB1E}"/>
            </c:ext>
          </c:extLst>
        </c:ser>
        <c:ser>
          <c:idx val="4"/>
          <c:order val="4"/>
          <c:tx>
            <c:strRef>
              <c:f>'Q15_Tab 25-30'!$A$119</c:f>
              <c:strCache>
                <c:ptCount val="1"/>
                <c:pt idx="0">
                  <c:v>quelques salariés (moins de 10 %)</c:v>
                </c:pt>
              </c:strCache>
            </c:strRef>
          </c:tx>
          <c:spPr>
            <a:solidFill>
              <a:schemeClr val="accent5"/>
            </a:solidFill>
            <a:ln>
              <a:noFill/>
            </a:ln>
            <a:effectLst/>
          </c:spPr>
          <c:invertIfNegative val="0"/>
          <c:cat>
            <c:strRef>
              <c:f>'Q15_Tab 25-30'!$B$114:$H$114</c:f>
              <c:strCache>
                <c:ptCount val="7"/>
                <c:pt idx="0">
                  <c:v>Ensemble</c:v>
                </c:pt>
                <c:pt idx="1">
                  <c:v>10 - 19</c:v>
                </c:pt>
                <c:pt idx="2">
                  <c:v>20 - 49</c:v>
                </c:pt>
                <c:pt idx="3">
                  <c:v>50 - 99</c:v>
                </c:pt>
                <c:pt idx="4">
                  <c:v>100 - 249</c:v>
                </c:pt>
                <c:pt idx="5">
                  <c:v>250 - 499</c:v>
                </c:pt>
                <c:pt idx="6">
                  <c:v>500 et +</c:v>
                </c:pt>
              </c:strCache>
            </c:strRef>
          </c:cat>
          <c:val>
            <c:numRef>
              <c:f>'Q15_Tab 25-30'!$B$119:$H$119</c:f>
              <c:numCache>
                <c:formatCode>0.0</c:formatCode>
                <c:ptCount val="7"/>
                <c:pt idx="0">
                  <c:v>70.599999999999994</c:v>
                </c:pt>
                <c:pt idx="1">
                  <c:v>34.9</c:v>
                </c:pt>
                <c:pt idx="2">
                  <c:v>54</c:v>
                </c:pt>
                <c:pt idx="3">
                  <c:v>67.800000000000011</c:v>
                </c:pt>
                <c:pt idx="4">
                  <c:v>77.100000000000009</c:v>
                </c:pt>
                <c:pt idx="5">
                  <c:v>78.100000000000009</c:v>
                </c:pt>
                <c:pt idx="6">
                  <c:v>83.899999999999991</c:v>
                </c:pt>
              </c:numCache>
            </c:numRef>
          </c:val>
          <c:extLst>
            <c:ext xmlns:c16="http://schemas.microsoft.com/office/drawing/2014/chart" uri="{C3380CC4-5D6E-409C-BE32-E72D297353CC}">
              <c16:uniqueId val="{00000004-C356-4104-8C19-0D99F928AB1E}"/>
            </c:ext>
          </c:extLst>
        </c:ser>
        <c:ser>
          <c:idx val="5"/>
          <c:order val="5"/>
          <c:tx>
            <c:strRef>
              <c:f>'Q15_Tab 25-30'!$A$120</c:f>
              <c:strCache>
                <c:ptCount val="1"/>
                <c:pt idx="0">
                  <c:v>aucun salarié</c:v>
                </c:pt>
              </c:strCache>
            </c:strRef>
          </c:tx>
          <c:spPr>
            <a:solidFill>
              <a:schemeClr val="accent6"/>
            </a:solidFill>
            <a:ln>
              <a:noFill/>
            </a:ln>
            <a:effectLst/>
          </c:spPr>
          <c:invertIfNegative val="0"/>
          <c:cat>
            <c:strRef>
              <c:f>'Q15_Tab 25-30'!$B$114:$H$114</c:f>
              <c:strCache>
                <c:ptCount val="7"/>
                <c:pt idx="0">
                  <c:v>Ensemble</c:v>
                </c:pt>
                <c:pt idx="1">
                  <c:v>10 - 19</c:v>
                </c:pt>
                <c:pt idx="2">
                  <c:v>20 - 49</c:v>
                </c:pt>
                <c:pt idx="3">
                  <c:v>50 - 99</c:v>
                </c:pt>
                <c:pt idx="4">
                  <c:v>100 - 249</c:v>
                </c:pt>
                <c:pt idx="5">
                  <c:v>250 - 499</c:v>
                </c:pt>
                <c:pt idx="6">
                  <c:v>500 et +</c:v>
                </c:pt>
              </c:strCache>
            </c:strRef>
          </c:cat>
          <c:val>
            <c:numRef>
              <c:f>'Q15_Tab 25-30'!$B$120:$H$120</c:f>
              <c:numCache>
                <c:formatCode>0.0</c:formatCode>
                <c:ptCount val="7"/>
                <c:pt idx="0">
                  <c:v>20.200000000000003</c:v>
                </c:pt>
                <c:pt idx="1">
                  <c:v>61.1</c:v>
                </c:pt>
                <c:pt idx="2">
                  <c:v>40.5</c:v>
                </c:pt>
                <c:pt idx="3">
                  <c:v>24.5</c:v>
                </c:pt>
                <c:pt idx="4">
                  <c:v>13.8</c:v>
                </c:pt>
                <c:pt idx="5">
                  <c:v>9.8000000000000007</c:v>
                </c:pt>
                <c:pt idx="6">
                  <c:v>4.2</c:v>
                </c:pt>
              </c:numCache>
            </c:numRef>
          </c:val>
          <c:extLst>
            <c:ext xmlns:c16="http://schemas.microsoft.com/office/drawing/2014/chart" uri="{C3380CC4-5D6E-409C-BE32-E72D297353CC}">
              <c16:uniqueId val="{00000005-C356-4104-8C19-0D99F928AB1E}"/>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Congés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'Q15_Tab 25-30'!$A$152</c:f>
              <c:strCache>
                <c:ptCount val="1"/>
                <c:pt idx="0">
                  <c:v>la plupart des salariés (80 % ou plus)</c:v>
                </c:pt>
              </c:strCache>
            </c:strRef>
          </c:tx>
          <c:spPr>
            <a:solidFill>
              <a:schemeClr val="accent1"/>
            </a:solidFill>
            <a:ln>
              <a:noFill/>
            </a:ln>
            <a:effectLst/>
          </c:spPr>
          <c:invertIfNegative val="0"/>
          <c:cat>
            <c:strRef>
              <c:f>'Q15_Tab 25-30'!$B$151:$H$151</c:f>
              <c:strCache>
                <c:ptCount val="7"/>
                <c:pt idx="0">
                  <c:v>Ensemble</c:v>
                </c:pt>
                <c:pt idx="1">
                  <c:v>10 - 19</c:v>
                </c:pt>
                <c:pt idx="2">
                  <c:v>20 - 49</c:v>
                </c:pt>
                <c:pt idx="3">
                  <c:v>50 - 99</c:v>
                </c:pt>
                <c:pt idx="4">
                  <c:v>100 - 249</c:v>
                </c:pt>
                <c:pt idx="5">
                  <c:v>250 - 499</c:v>
                </c:pt>
                <c:pt idx="6">
                  <c:v>500 et +</c:v>
                </c:pt>
              </c:strCache>
            </c:strRef>
          </c:cat>
          <c:val>
            <c:numRef>
              <c:f>'Q15_Tab 25-30'!$B$152:$H$152</c:f>
              <c:numCache>
                <c:formatCode>0.0</c:formatCode>
                <c:ptCount val="7"/>
                <c:pt idx="0">
                  <c:v>0.2</c:v>
                </c:pt>
                <c:pt idx="1">
                  <c:v>0.2</c:v>
                </c:pt>
                <c:pt idx="2">
                  <c:v>0.4</c:v>
                </c:pt>
                <c:pt idx="3">
                  <c:v>0</c:v>
                </c:pt>
                <c:pt idx="4">
                  <c:v>0.2</c:v>
                </c:pt>
                <c:pt idx="5">
                  <c:v>0.1</c:v>
                </c:pt>
                <c:pt idx="6">
                  <c:v>0.1</c:v>
                </c:pt>
              </c:numCache>
            </c:numRef>
          </c:val>
          <c:extLst>
            <c:ext xmlns:c16="http://schemas.microsoft.com/office/drawing/2014/chart" uri="{C3380CC4-5D6E-409C-BE32-E72D297353CC}">
              <c16:uniqueId val="{00000000-C4BA-4DB6-85B9-02DE1CF9B1F8}"/>
            </c:ext>
          </c:extLst>
        </c:ser>
        <c:ser>
          <c:idx val="1"/>
          <c:order val="1"/>
          <c:tx>
            <c:strRef>
              <c:f>'Q15_Tab 25-30'!$A$153</c:f>
              <c:strCache>
                <c:ptCount val="1"/>
                <c:pt idx="0">
                  <c:v>une majorité des salariés (50 % à 79 %)</c:v>
                </c:pt>
              </c:strCache>
            </c:strRef>
          </c:tx>
          <c:spPr>
            <a:solidFill>
              <a:schemeClr val="accent2"/>
            </a:solidFill>
            <a:ln>
              <a:noFill/>
            </a:ln>
            <a:effectLst/>
          </c:spPr>
          <c:invertIfNegative val="0"/>
          <c:cat>
            <c:strRef>
              <c:f>'Q15_Tab 25-30'!$B$151:$H$151</c:f>
              <c:strCache>
                <c:ptCount val="7"/>
                <c:pt idx="0">
                  <c:v>Ensemble</c:v>
                </c:pt>
                <c:pt idx="1">
                  <c:v>10 - 19</c:v>
                </c:pt>
                <c:pt idx="2">
                  <c:v>20 - 49</c:v>
                </c:pt>
                <c:pt idx="3">
                  <c:v>50 - 99</c:v>
                </c:pt>
                <c:pt idx="4">
                  <c:v>100 - 249</c:v>
                </c:pt>
                <c:pt idx="5">
                  <c:v>250 - 499</c:v>
                </c:pt>
                <c:pt idx="6">
                  <c:v>500 et +</c:v>
                </c:pt>
              </c:strCache>
            </c:strRef>
          </c:cat>
          <c:val>
            <c:numRef>
              <c:f>'Q15_Tab 25-30'!$B$153:$H$153</c:f>
              <c:numCache>
                <c:formatCode>0.0</c:formatCode>
                <c:ptCount val="7"/>
                <c:pt idx="0">
                  <c:v>0.2</c:v>
                </c:pt>
                <c:pt idx="1">
                  <c:v>0.4</c:v>
                </c:pt>
                <c:pt idx="2">
                  <c:v>0.2</c:v>
                </c:pt>
                <c:pt idx="3">
                  <c:v>0.2</c:v>
                </c:pt>
                <c:pt idx="4">
                  <c:v>0.3</c:v>
                </c:pt>
                <c:pt idx="5">
                  <c:v>0.2</c:v>
                </c:pt>
                <c:pt idx="6">
                  <c:v>0.2</c:v>
                </c:pt>
              </c:numCache>
            </c:numRef>
          </c:val>
          <c:extLst>
            <c:ext xmlns:c16="http://schemas.microsoft.com/office/drawing/2014/chart" uri="{C3380CC4-5D6E-409C-BE32-E72D297353CC}">
              <c16:uniqueId val="{00000001-C4BA-4DB6-85B9-02DE1CF9B1F8}"/>
            </c:ext>
          </c:extLst>
        </c:ser>
        <c:ser>
          <c:idx val="2"/>
          <c:order val="2"/>
          <c:tx>
            <c:strRef>
              <c:f>'Q15_Tab 25-30'!$A$154</c:f>
              <c:strCache>
                <c:ptCount val="1"/>
                <c:pt idx="0">
                  <c:v>un nombre conséquent de salariés (30 % à 49 %)</c:v>
                </c:pt>
              </c:strCache>
            </c:strRef>
          </c:tx>
          <c:spPr>
            <a:solidFill>
              <a:schemeClr val="accent3"/>
            </a:solidFill>
            <a:ln>
              <a:noFill/>
            </a:ln>
            <a:effectLst/>
          </c:spPr>
          <c:invertIfNegative val="0"/>
          <c:cat>
            <c:strRef>
              <c:f>'Q15_Tab 25-30'!$B$151:$H$151</c:f>
              <c:strCache>
                <c:ptCount val="7"/>
                <c:pt idx="0">
                  <c:v>Ensemble</c:v>
                </c:pt>
                <c:pt idx="1">
                  <c:v>10 - 19</c:v>
                </c:pt>
                <c:pt idx="2">
                  <c:v>20 - 49</c:v>
                </c:pt>
                <c:pt idx="3">
                  <c:v>50 - 99</c:v>
                </c:pt>
                <c:pt idx="4">
                  <c:v>100 - 249</c:v>
                </c:pt>
                <c:pt idx="5">
                  <c:v>250 - 499</c:v>
                </c:pt>
                <c:pt idx="6">
                  <c:v>500 et +</c:v>
                </c:pt>
              </c:strCache>
            </c:strRef>
          </c:cat>
          <c:val>
            <c:numRef>
              <c:f>'Q15_Tab 25-30'!$B$154:$H$154</c:f>
              <c:numCache>
                <c:formatCode>0.0</c:formatCode>
                <c:ptCount val="7"/>
                <c:pt idx="0">
                  <c:v>1.4000000000000001</c:v>
                </c:pt>
                <c:pt idx="1">
                  <c:v>1.0999999999999999</c:v>
                </c:pt>
                <c:pt idx="2">
                  <c:v>1</c:v>
                </c:pt>
                <c:pt idx="3">
                  <c:v>1</c:v>
                </c:pt>
                <c:pt idx="4">
                  <c:v>1</c:v>
                </c:pt>
                <c:pt idx="5">
                  <c:v>1.2</c:v>
                </c:pt>
                <c:pt idx="6">
                  <c:v>2.1</c:v>
                </c:pt>
              </c:numCache>
            </c:numRef>
          </c:val>
          <c:extLst>
            <c:ext xmlns:c16="http://schemas.microsoft.com/office/drawing/2014/chart" uri="{C3380CC4-5D6E-409C-BE32-E72D297353CC}">
              <c16:uniqueId val="{00000002-C4BA-4DB6-85B9-02DE1CF9B1F8}"/>
            </c:ext>
          </c:extLst>
        </c:ser>
        <c:ser>
          <c:idx val="3"/>
          <c:order val="3"/>
          <c:tx>
            <c:strRef>
              <c:f>'Q15_Tab 25-30'!$A$155</c:f>
              <c:strCache>
                <c:ptCount val="1"/>
                <c:pt idx="0">
                  <c:v>certains salariés (10 % à 29 %)</c:v>
                </c:pt>
              </c:strCache>
            </c:strRef>
          </c:tx>
          <c:spPr>
            <a:solidFill>
              <a:schemeClr val="accent4"/>
            </a:solidFill>
            <a:ln>
              <a:noFill/>
            </a:ln>
            <a:effectLst/>
          </c:spPr>
          <c:invertIfNegative val="0"/>
          <c:cat>
            <c:strRef>
              <c:f>'Q15_Tab 25-30'!$B$151:$H$151</c:f>
              <c:strCache>
                <c:ptCount val="7"/>
                <c:pt idx="0">
                  <c:v>Ensemble</c:v>
                </c:pt>
                <c:pt idx="1">
                  <c:v>10 - 19</c:v>
                </c:pt>
                <c:pt idx="2">
                  <c:v>20 - 49</c:v>
                </c:pt>
                <c:pt idx="3">
                  <c:v>50 - 99</c:v>
                </c:pt>
                <c:pt idx="4">
                  <c:v>100 - 249</c:v>
                </c:pt>
                <c:pt idx="5">
                  <c:v>250 - 499</c:v>
                </c:pt>
                <c:pt idx="6">
                  <c:v>500 et +</c:v>
                </c:pt>
              </c:strCache>
            </c:strRef>
          </c:cat>
          <c:val>
            <c:numRef>
              <c:f>'Q15_Tab 25-30'!$B$155:$H$155</c:f>
              <c:numCache>
                <c:formatCode>0.0</c:formatCode>
                <c:ptCount val="7"/>
                <c:pt idx="0">
                  <c:v>12.8</c:v>
                </c:pt>
                <c:pt idx="1">
                  <c:v>6.8000000000000007</c:v>
                </c:pt>
                <c:pt idx="2">
                  <c:v>8.2000000000000011</c:v>
                </c:pt>
                <c:pt idx="3">
                  <c:v>10.299999999999999</c:v>
                </c:pt>
                <c:pt idx="4">
                  <c:v>12.2</c:v>
                </c:pt>
                <c:pt idx="5">
                  <c:v>15.1</c:v>
                </c:pt>
                <c:pt idx="6">
                  <c:v>16.7</c:v>
                </c:pt>
              </c:numCache>
            </c:numRef>
          </c:val>
          <c:extLst>
            <c:ext xmlns:c16="http://schemas.microsoft.com/office/drawing/2014/chart" uri="{C3380CC4-5D6E-409C-BE32-E72D297353CC}">
              <c16:uniqueId val="{00000003-C4BA-4DB6-85B9-02DE1CF9B1F8}"/>
            </c:ext>
          </c:extLst>
        </c:ser>
        <c:ser>
          <c:idx val="4"/>
          <c:order val="4"/>
          <c:tx>
            <c:strRef>
              <c:f>'Q15_Tab 25-30'!$A$156</c:f>
              <c:strCache>
                <c:ptCount val="1"/>
                <c:pt idx="0">
                  <c:v>quelques salariés (moins de 10 %)</c:v>
                </c:pt>
              </c:strCache>
            </c:strRef>
          </c:tx>
          <c:spPr>
            <a:solidFill>
              <a:schemeClr val="accent5"/>
            </a:solidFill>
            <a:ln>
              <a:noFill/>
            </a:ln>
            <a:effectLst/>
          </c:spPr>
          <c:invertIfNegative val="0"/>
          <c:cat>
            <c:strRef>
              <c:f>'Q15_Tab 25-30'!$B$151:$H$151</c:f>
              <c:strCache>
                <c:ptCount val="7"/>
                <c:pt idx="0">
                  <c:v>Ensemble</c:v>
                </c:pt>
                <c:pt idx="1">
                  <c:v>10 - 19</c:v>
                </c:pt>
                <c:pt idx="2">
                  <c:v>20 - 49</c:v>
                </c:pt>
                <c:pt idx="3">
                  <c:v>50 - 99</c:v>
                </c:pt>
                <c:pt idx="4">
                  <c:v>100 - 249</c:v>
                </c:pt>
                <c:pt idx="5">
                  <c:v>250 - 499</c:v>
                </c:pt>
                <c:pt idx="6">
                  <c:v>500 et +</c:v>
                </c:pt>
              </c:strCache>
            </c:strRef>
          </c:cat>
          <c:val>
            <c:numRef>
              <c:f>'Q15_Tab 25-30'!$B$156:$H$156</c:f>
              <c:numCache>
                <c:formatCode>0.0</c:formatCode>
                <c:ptCount val="7"/>
                <c:pt idx="0">
                  <c:v>61.6</c:v>
                </c:pt>
                <c:pt idx="1">
                  <c:v>30.4</c:v>
                </c:pt>
                <c:pt idx="2">
                  <c:v>45.800000000000004</c:v>
                </c:pt>
                <c:pt idx="3">
                  <c:v>61.199999999999996</c:v>
                </c:pt>
                <c:pt idx="4">
                  <c:v>64.2</c:v>
                </c:pt>
                <c:pt idx="5">
                  <c:v>69.199999999999989</c:v>
                </c:pt>
                <c:pt idx="6">
                  <c:v>73.900000000000006</c:v>
                </c:pt>
              </c:numCache>
            </c:numRef>
          </c:val>
          <c:extLst>
            <c:ext xmlns:c16="http://schemas.microsoft.com/office/drawing/2014/chart" uri="{C3380CC4-5D6E-409C-BE32-E72D297353CC}">
              <c16:uniqueId val="{00000004-C4BA-4DB6-85B9-02DE1CF9B1F8}"/>
            </c:ext>
          </c:extLst>
        </c:ser>
        <c:ser>
          <c:idx val="5"/>
          <c:order val="5"/>
          <c:tx>
            <c:strRef>
              <c:f>'Q15_Tab 25-30'!$A$157</c:f>
              <c:strCache>
                <c:ptCount val="1"/>
                <c:pt idx="0">
                  <c:v>aucun salarié</c:v>
                </c:pt>
              </c:strCache>
            </c:strRef>
          </c:tx>
          <c:spPr>
            <a:solidFill>
              <a:schemeClr val="accent6"/>
            </a:solidFill>
            <a:ln>
              <a:noFill/>
            </a:ln>
            <a:effectLst/>
          </c:spPr>
          <c:invertIfNegative val="0"/>
          <c:cat>
            <c:strRef>
              <c:f>'Q15_Tab 25-30'!$B$151:$H$151</c:f>
              <c:strCache>
                <c:ptCount val="7"/>
                <c:pt idx="0">
                  <c:v>Ensemble</c:v>
                </c:pt>
                <c:pt idx="1">
                  <c:v>10 - 19</c:v>
                </c:pt>
                <c:pt idx="2">
                  <c:v>20 - 49</c:v>
                </c:pt>
                <c:pt idx="3">
                  <c:v>50 - 99</c:v>
                </c:pt>
                <c:pt idx="4">
                  <c:v>100 - 249</c:v>
                </c:pt>
                <c:pt idx="5">
                  <c:v>250 - 499</c:v>
                </c:pt>
                <c:pt idx="6">
                  <c:v>500 et +</c:v>
                </c:pt>
              </c:strCache>
            </c:strRef>
          </c:cat>
          <c:val>
            <c:numRef>
              <c:f>'Q15_Tab 25-30'!$B$157:$H$157</c:f>
              <c:numCache>
                <c:formatCode>0.0</c:formatCode>
                <c:ptCount val="7"/>
                <c:pt idx="0">
                  <c:v>23.799999999999997</c:v>
                </c:pt>
                <c:pt idx="1">
                  <c:v>61.199999999999996</c:v>
                </c:pt>
                <c:pt idx="2">
                  <c:v>44.4</c:v>
                </c:pt>
                <c:pt idx="3">
                  <c:v>27.200000000000003</c:v>
                </c:pt>
                <c:pt idx="4">
                  <c:v>22.2</c:v>
                </c:pt>
                <c:pt idx="5">
                  <c:v>14.2</c:v>
                </c:pt>
                <c:pt idx="6">
                  <c:v>7.0000000000000009</c:v>
                </c:pt>
              </c:numCache>
            </c:numRef>
          </c:val>
          <c:extLst>
            <c:ext xmlns:c16="http://schemas.microsoft.com/office/drawing/2014/chart" uri="{C3380CC4-5D6E-409C-BE32-E72D297353CC}">
              <c16:uniqueId val="{00000005-C4BA-4DB6-85B9-02DE1CF9B1F8}"/>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Exercice du droit de retrait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'Q15_Tab 25-30'!$A$189</c:f>
              <c:strCache>
                <c:ptCount val="1"/>
                <c:pt idx="0">
                  <c:v>la plupart des salariés (80 % ou plus)</c:v>
                </c:pt>
              </c:strCache>
            </c:strRef>
          </c:tx>
          <c:spPr>
            <a:solidFill>
              <a:schemeClr val="accent1"/>
            </a:solidFill>
            <a:ln>
              <a:noFill/>
            </a:ln>
            <a:effectLst/>
          </c:spPr>
          <c:invertIfNegative val="0"/>
          <c:cat>
            <c:strRef>
              <c:f>'Q15_Tab 25-30'!$B$188:$H$188</c:f>
              <c:strCache>
                <c:ptCount val="7"/>
                <c:pt idx="0">
                  <c:v>Ensemble</c:v>
                </c:pt>
                <c:pt idx="1">
                  <c:v>10 - 19</c:v>
                </c:pt>
                <c:pt idx="2">
                  <c:v>20 - 49</c:v>
                </c:pt>
                <c:pt idx="3">
                  <c:v>50 - 99</c:v>
                </c:pt>
                <c:pt idx="4">
                  <c:v>100 - 249</c:v>
                </c:pt>
                <c:pt idx="5">
                  <c:v>250 - 499</c:v>
                </c:pt>
                <c:pt idx="6">
                  <c:v>500 et +</c:v>
                </c:pt>
              </c:strCache>
            </c:strRef>
          </c:cat>
          <c:val>
            <c:numRef>
              <c:f>'Q15_Tab 25-30'!$B$189:$H$189</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C79-46B2-A1FE-EFF3682F5A45}"/>
            </c:ext>
          </c:extLst>
        </c:ser>
        <c:ser>
          <c:idx val="1"/>
          <c:order val="1"/>
          <c:tx>
            <c:strRef>
              <c:f>'Q15_Tab 25-30'!$A$190</c:f>
              <c:strCache>
                <c:ptCount val="1"/>
                <c:pt idx="0">
                  <c:v>une majorité des salariés (50 % à 79 %)</c:v>
                </c:pt>
              </c:strCache>
            </c:strRef>
          </c:tx>
          <c:spPr>
            <a:solidFill>
              <a:schemeClr val="accent2"/>
            </a:solidFill>
            <a:ln>
              <a:noFill/>
            </a:ln>
            <a:effectLst/>
          </c:spPr>
          <c:invertIfNegative val="0"/>
          <c:cat>
            <c:strRef>
              <c:f>'Q15_Tab 25-30'!$B$188:$H$188</c:f>
              <c:strCache>
                <c:ptCount val="7"/>
                <c:pt idx="0">
                  <c:v>Ensemble</c:v>
                </c:pt>
                <c:pt idx="1">
                  <c:v>10 - 19</c:v>
                </c:pt>
                <c:pt idx="2">
                  <c:v>20 - 49</c:v>
                </c:pt>
                <c:pt idx="3">
                  <c:v>50 - 99</c:v>
                </c:pt>
                <c:pt idx="4">
                  <c:v>100 - 249</c:v>
                </c:pt>
                <c:pt idx="5">
                  <c:v>250 - 499</c:v>
                </c:pt>
                <c:pt idx="6">
                  <c:v>500 et +</c:v>
                </c:pt>
              </c:strCache>
            </c:strRef>
          </c:cat>
          <c:val>
            <c:numRef>
              <c:f>'Q15_Tab 25-30'!$B$190:$H$190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C79-46B2-A1FE-EFF3682F5A45}"/>
            </c:ext>
          </c:extLst>
        </c:ser>
        <c:ser>
          <c:idx val="2"/>
          <c:order val="2"/>
          <c:tx>
            <c:strRef>
              <c:f>'Q15_Tab 25-30'!$A$191</c:f>
              <c:strCache>
                <c:ptCount val="1"/>
                <c:pt idx="0">
                  <c:v>un nombre conséquent de salariés (30 % à 49 %)</c:v>
                </c:pt>
              </c:strCache>
            </c:strRef>
          </c:tx>
          <c:spPr>
            <a:solidFill>
              <a:schemeClr val="accent3"/>
            </a:solidFill>
            <a:ln>
              <a:noFill/>
            </a:ln>
            <a:effectLst/>
          </c:spPr>
          <c:invertIfNegative val="0"/>
          <c:cat>
            <c:strRef>
              <c:f>'Q15_Tab 25-30'!$B$188:$H$188</c:f>
              <c:strCache>
                <c:ptCount val="7"/>
                <c:pt idx="0">
                  <c:v>Ensemble</c:v>
                </c:pt>
                <c:pt idx="1">
                  <c:v>10 - 19</c:v>
                </c:pt>
                <c:pt idx="2">
                  <c:v>20 - 49</c:v>
                </c:pt>
                <c:pt idx="3">
                  <c:v>50 - 99</c:v>
                </c:pt>
                <c:pt idx="4">
                  <c:v>100 - 249</c:v>
                </c:pt>
                <c:pt idx="5">
                  <c:v>250 - 499</c:v>
                </c:pt>
                <c:pt idx="6">
                  <c:v>500 et +</c:v>
                </c:pt>
              </c:strCache>
            </c:strRef>
          </c:cat>
          <c:val>
            <c:numRef>
              <c:f>'Q15_Tab 25-30'!$B$191:$H$191</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FC79-46B2-A1FE-EFF3682F5A45}"/>
            </c:ext>
          </c:extLst>
        </c:ser>
        <c:ser>
          <c:idx val="3"/>
          <c:order val="3"/>
          <c:tx>
            <c:strRef>
              <c:f>'Q15_Tab 25-30'!$A$192</c:f>
              <c:strCache>
                <c:ptCount val="1"/>
                <c:pt idx="0">
                  <c:v>certains salariés (10 % à 29 %)</c:v>
                </c:pt>
              </c:strCache>
            </c:strRef>
          </c:tx>
          <c:spPr>
            <a:solidFill>
              <a:schemeClr val="accent4"/>
            </a:solidFill>
            <a:ln>
              <a:noFill/>
            </a:ln>
            <a:effectLst/>
          </c:spPr>
          <c:invertIfNegative val="0"/>
          <c:cat>
            <c:strRef>
              <c:f>'Q15_Tab 25-30'!$B$188:$H$188</c:f>
              <c:strCache>
                <c:ptCount val="7"/>
                <c:pt idx="0">
                  <c:v>Ensemble</c:v>
                </c:pt>
                <c:pt idx="1">
                  <c:v>10 - 19</c:v>
                </c:pt>
                <c:pt idx="2">
                  <c:v>20 - 49</c:v>
                </c:pt>
                <c:pt idx="3">
                  <c:v>50 - 99</c:v>
                </c:pt>
                <c:pt idx="4">
                  <c:v>100 - 249</c:v>
                </c:pt>
                <c:pt idx="5">
                  <c:v>250 - 499</c:v>
                </c:pt>
                <c:pt idx="6">
                  <c:v>500 et +</c:v>
                </c:pt>
              </c:strCache>
            </c:strRef>
          </c:cat>
          <c:val>
            <c:numRef>
              <c:f>'Q15_Tab 25-30'!$B$192:$H$192</c:f>
              <c:numCache>
                <c:formatCode>0.0</c:formatCode>
                <c:ptCount val="7"/>
                <c:pt idx="0">
                  <c:v>0.3</c:v>
                </c:pt>
                <c:pt idx="1">
                  <c:v>0.1</c:v>
                </c:pt>
                <c:pt idx="2">
                  <c:v>0</c:v>
                </c:pt>
                <c:pt idx="3">
                  <c:v>0</c:v>
                </c:pt>
                <c:pt idx="4">
                  <c:v>0</c:v>
                </c:pt>
                <c:pt idx="5">
                  <c:v>0</c:v>
                </c:pt>
                <c:pt idx="6">
                  <c:v>0.6</c:v>
                </c:pt>
              </c:numCache>
            </c:numRef>
          </c:val>
          <c:extLst>
            <c:ext xmlns:c16="http://schemas.microsoft.com/office/drawing/2014/chart" uri="{C3380CC4-5D6E-409C-BE32-E72D297353CC}">
              <c16:uniqueId val="{00000003-FC79-46B2-A1FE-EFF3682F5A45}"/>
            </c:ext>
          </c:extLst>
        </c:ser>
        <c:ser>
          <c:idx val="4"/>
          <c:order val="4"/>
          <c:tx>
            <c:strRef>
              <c:f>'Q15_Tab 25-30'!$A$193</c:f>
              <c:strCache>
                <c:ptCount val="1"/>
                <c:pt idx="0">
                  <c:v>quelques salariés (moins de 10 %)</c:v>
                </c:pt>
              </c:strCache>
            </c:strRef>
          </c:tx>
          <c:spPr>
            <a:solidFill>
              <a:schemeClr val="accent5"/>
            </a:solidFill>
            <a:ln>
              <a:noFill/>
            </a:ln>
            <a:effectLst/>
          </c:spPr>
          <c:invertIfNegative val="0"/>
          <c:cat>
            <c:strRef>
              <c:f>'Q15_Tab 25-30'!$B$188:$H$188</c:f>
              <c:strCache>
                <c:ptCount val="7"/>
                <c:pt idx="0">
                  <c:v>Ensemble</c:v>
                </c:pt>
                <c:pt idx="1">
                  <c:v>10 - 19</c:v>
                </c:pt>
                <c:pt idx="2">
                  <c:v>20 - 49</c:v>
                </c:pt>
                <c:pt idx="3">
                  <c:v>50 - 99</c:v>
                </c:pt>
                <c:pt idx="4">
                  <c:v>100 - 249</c:v>
                </c:pt>
                <c:pt idx="5">
                  <c:v>250 - 499</c:v>
                </c:pt>
                <c:pt idx="6">
                  <c:v>500 et +</c:v>
                </c:pt>
              </c:strCache>
            </c:strRef>
          </c:cat>
          <c:val>
            <c:numRef>
              <c:f>'Q15_Tab 25-30'!$B$193:$H$193</c:f>
              <c:numCache>
                <c:formatCode>0.0</c:formatCode>
                <c:ptCount val="7"/>
                <c:pt idx="0">
                  <c:v>2.5</c:v>
                </c:pt>
                <c:pt idx="1">
                  <c:v>1.0999999999999999</c:v>
                </c:pt>
                <c:pt idx="2">
                  <c:v>1.3</c:v>
                </c:pt>
                <c:pt idx="3">
                  <c:v>1.2</c:v>
                </c:pt>
                <c:pt idx="4">
                  <c:v>1.3</c:v>
                </c:pt>
                <c:pt idx="5">
                  <c:v>1</c:v>
                </c:pt>
                <c:pt idx="6">
                  <c:v>4.3999999999999995</c:v>
                </c:pt>
              </c:numCache>
            </c:numRef>
          </c:val>
          <c:extLst>
            <c:ext xmlns:c16="http://schemas.microsoft.com/office/drawing/2014/chart" uri="{C3380CC4-5D6E-409C-BE32-E72D297353CC}">
              <c16:uniqueId val="{00000004-FC79-46B2-A1FE-EFF3682F5A45}"/>
            </c:ext>
          </c:extLst>
        </c:ser>
        <c:ser>
          <c:idx val="5"/>
          <c:order val="5"/>
          <c:tx>
            <c:strRef>
              <c:f>'Q15_Tab 25-30'!$A$194</c:f>
              <c:strCache>
                <c:ptCount val="1"/>
                <c:pt idx="0">
                  <c:v>aucun salarié</c:v>
                </c:pt>
              </c:strCache>
            </c:strRef>
          </c:tx>
          <c:spPr>
            <a:solidFill>
              <a:schemeClr val="accent6"/>
            </a:solidFill>
            <a:ln>
              <a:noFill/>
            </a:ln>
            <a:effectLst/>
          </c:spPr>
          <c:invertIfNegative val="0"/>
          <c:cat>
            <c:strRef>
              <c:f>'Q15_Tab 25-30'!$B$188:$H$188</c:f>
              <c:strCache>
                <c:ptCount val="7"/>
                <c:pt idx="0">
                  <c:v>Ensemble</c:v>
                </c:pt>
                <c:pt idx="1">
                  <c:v>10 - 19</c:v>
                </c:pt>
                <c:pt idx="2">
                  <c:v>20 - 49</c:v>
                </c:pt>
                <c:pt idx="3">
                  <c:v>50 - 99</c:v>
                </c:pt>
                <c:pt idx="4">
                  <c:v>100 - 249</c:v>
                </c:pt>
                <c:pt idx="5">
                  <c:v>250 - 499</c:v>
                </c:pt>
                <c:pt idx="6">
                  <c:v>500 et +</c:v>
                </c:pt>
              </c:strCache>
            </c:strRef>
          </c:cat>
          <c:val>
            <c:numRef>
              <c:f>'Q15_Tab 25-30'!$B$194:$H$194</c:f>
              <c:numCache>
                <c:formatCode>0.0</c:formatCode>
                <c:ptCount val="7"/>
                <c:pt idx="0">
                  <c:v>97.3</c:v>
                </c:pt>
                <c:pt idx="1">
                  <c:v>98.8</c:v>
                </c:pt>
                <c:pt idx="2">
                  <c:v>98.7</c:v>
                </c:pt>
                <c:pt idx="3">
                  <c:v>98.7</c:v>
                </c:pt>
                <c:pt idx="4">
                  <c:v>98.7</c:v>
                </c:pt>
                <c:pt idx="5">
                  <c:v>98.9</c:v>
                </c:pt>
                <c:pt idx="6">
                  <c:v>95</c:v>
                </c:pt>
              </c:numCache>
            </c:numRef>
          </c:val>
          <c:extLst>
            <c:ext xmlns:c16="http://schemas.microsoft.com/office/drawing/2014/chart" uri="{C3380CC4-5D6E-409C-BE32-E72D297353CC}">
              <c16:uniqueId val="{00000005-FC79-46B2-A1FE-EFF3682F5A45}"/>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Travail sur site ou sur chantiers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'Q15_Tab 31-36'!$B$4</c:f>
              <c:strCache>
                <c:ptCount val="1"/>
                <c:pt idx="0">
                  <c:v>la plupart des salariés (80 % ou plus)</c:v>
                </c:pt>
              </c:strCache>
            </c:strRef>
          </c:tx>
          <c:spPr>
            <a:solidFill>
              <a:schemeClr val="accent1"/>
            </a:solidFill>
            <a:ln>
              <a:noFill/>
            </a:ln>
            <a:effectLst/>
          </c:spPr>
          <c:invertIfNegative val="0"/>
          <c:cat>
            <c:strRef>
              <c:f>'Q15_Tab 31-36'!$A$5:$A$21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31-36'!$B$5:$B$21</c:f>
              <c:numCache>
                <c:formatCode>0.0</c:formatCode>
                <c:ptCount val="17"/>
                <c:pt idx="0">
                  <c:v>56.699999999999996</c:v>
                </c:pt>
                <c:pt idx="1">
                  <c:v>41.9</c:v>
                </c:pt>
                <c:pt idx="2">
                  <c:v>71.399999999999991</c:v>
                </c:pt>
                <c:pt idx="3">
                  <c:v>0</c:v>
                </c:pt>
                <c:pt idx="4">
                  <c:v>41.5</c:v>
                </c:pt>
                <c:pt idx="5">
                  <c:v>29.7</c:v>
                </c:pt>
                <c:pt idx="6">
                  <c:v>61.7</c:v>
                </c:pt>
                <c:pt idx="7">
                  <c:v>84.8</c:v>
                </c:pt>
                <c:pt idx="8">
                  <c:v>71.3</c:v>
                </c:pt>
                <c:pt idx="9">
                  <c:v>52.1</c:v>
                </c:pt>
                <c:pt idx="10">
                  <c:v>44.7</c:v>
                </c:pt>
                <c:pt idx="11">
                  <c:v>9.1</c:v>
                </c:pt>
                <c:pt idx="12">
                  <c:v>24.9</c:v>
                </c:pt>
                <c:pt idx="13">
                  <c:v>54</c:v>
                </c:pt>
                <c:pt idx="14">
                  <c:v>45.1</c:v>
                </c:pt>
                <c:pt idx="15">
                  <c:v>78.8</c:v>
                </c:pt>
                <c:pt idx="16">
                  <c:v>50.1</c:v>
                </c:pt>
              </c:numCache>
            </c:numRef>
          </c:val>
          <c:extLst>
            <c:ext xmlns:c16="http://schemas.microsoft.com/office/drawing/2014/chart" uri="{C3380CC4-5D6E-409C-BE32-E72D297353CC}">
              <c16:uniqueId val="{00000000-36A3-4695-BC55-DAB0842BC0F3}"/>
            </c:ext>
          </c:extLst>
        </c:ser>
        <c:ser>
          <c:idx val="1"/>
          <c:order val="1"/>
          <c:tx>
            <c:strRef>
              <c:f>'Q15_Tab 31-36'!$C$4</c:f>
              <c:strCache>
                <c:ptCount val="1"/>
                <c:pt idx="0">
                  <c:v>une majorité des salariés (50 % à 79 %)</c:v>
                </c:pt>
              </c:strCache>
            </c:strRef>
          </c:tx>
          <c:spPr>
            <a:solidFill>
              <a:schemeClr val="accent2"/>
            </a:solidFill>
            <a:ln>
              <a:noFill/>
            </a:ln>
            <a:effectLst/>
          </c:spPr>
          <c:invertIfNegative val="0"/>
          <c:cat>
            <c:strRef>
              <c:f>'Q15_Tab 31-36'!$A$5:$A$21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31-36'!$C$5:$C$21</c:f>
              <c:numCache>
                <c:formatCode>0.0</c:formatCode>
                <c:ptCount val="17"/>
                <c:pt idx="0">
                  <c:v>16.3</c:v>
                </c:pt>
                <c:pt idx="1">
                  <c:v>44.4</c:v>
                </c:pt>
                <c:pt idx="2">
                  <c:v>16.3</c:v>
                </c:pt>
                <c:pt idx="3">
                  <c:v>98.6</c:v>
                </c:pt>
                <c:pt idx="4">
                  <c:v>28.7</c:v>
                </c:pt>
                <c:pt idx="5">
                  <c:v>34.599999999999994</c:v>
                </c:pt>
                <c:pt idx="6">
                  <c:v>21</c:v>
                </c:pt>
                <c:pt idx="7">
                  <c:v>9.1</c:v>
                </c:pt>
                <c:pt idx="8">
                  <c:v>10.299999999999999</c:v>
                </c:pt>
                <c:pt idx="9">
                  <c:v>19</c:v>
                </c:pt>
                <c:pt idx="10">
                  <c:v>11.5</c:v>
                </c:pt>
                <c:pt idx="11">
                  <c:v>9.9</c:v>
                </c:pt>
                <c:pt idx="12">
                  <c:v>23.9</c:v>
                </c:pt>
                <c:pt idx="13">
                  <c:v>13.200000000000001</c:v>
                </c:pt>
                <c:pt idx="14">
                  <c:v>18.5</c:v>
                </c:pt>
                <c:pt idx="15">
                  <c:v>11</c:v>
                </c:pt>
                <c:pt idx="16">
                  <c:v>16.600000000000001</c:v>
                </c:pt>
              </c:numCache>
            </c:numRef>
          </c:val>
          <c:extLst>
            <c:ext xmlns:c16="http://schemas.microsoft.com/office/drawing/2014/chart" uri="{C3380CC4-5D6E-409C-BE32-E72D297353CC}">
              <c16:uniqueId val="{00000001-36A3-4695-BC55-DAB0842BC0F3}"/>
            </c:ext>
          </c:extLst>
        </c:ser>
        <c:ser>
          <c:idx val="2"/>
          <c:order val="2"/>
          <c:tx>
            <c:strRef>
              <c:f>'Q15_Tab 31-36'!$D$4</c:f>
              <c:strCache>
                <c:ptCount val="1"/>
                <c:pt idx="0">
                  <c:v>un nombre conséquent de salariés (30 % à 49 %)</c:v>
                </c:pt>
              </c:strCache>
            </c:strRef>
          </c:tx>
          <c:spPr>
            <a:solidFill>
              <a:schemeClr val="accent3"/>
            </a:solidFill>
            <a:ln>
              <a:noFill/>
            </a:ln>
            <a:effectLst/>
          </c:spPr>
          <c:invertIfNegative val="0"/>
          <c:cat>
            <c:strRef>
              <c:f>'Q15_Tab 31-36'!$A$5:$A$21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31-36'!$D$5:$D$21</c:f>
              <c:numCache>
                <c:formatCode>0.0</c:formatCode>
                <c:ptCount val="17"/>
                <c:pt idx="0">
                  <c:v>8.9</c:v>
                </c:pt>
                <c:pt idx="1">
                  <c:v>8.5</c:v>
                </c:pt>
                <c:pt idx="2">
                  <c:v>6</c:v>
                </c:pt>
                <c:pt idx="3">
                  <c:v>0</c:v>
                </c:pt>
                <c:pt idx="4">
                  <c:v>15.299999999999999</c:v>
                </c:pt>
                <c:pt idx="5">
                  <c:v>27.3</c:v>
                </c:pt>
                <c:pt idx="6">
                  <c:v>8.2000000000000011</c:v>
                </c:pt>
                <c:pt idx="7">
                  <c:v>2.6</c:v>
                </c:pt>
                <c:pt idx="8">
                  <c:v>5.0999999999999996</c:v>
                </c:pt>
                <c:pt idx="9">
                  <c:v>11.200000000000001</c:v>
                </c:pt>
                <c:pt idx="10">
                  <c:v>13.600000000000001</c:v>
                </c:pt>
                <c:pt idx="11">
                  <c:v>10.8</c:v>
                </c:pt>
                <c:pt idx="12">
                  <c:v>26.700000000000003</c:v>
                </c:pt>
                <c:pt idx="13">
                  <c:v>7.5</c:v>
                </c:pt>
                <c:pt idx="14">
                  <c:v>9.9</c:v>
                </c:pt>
                <c:pt idx="15">
                  <c:v>2.5</c:v>
                </c:pt>
                <c:pt idx="16">
                  <c:v>8.3000000000000007</c:v>
                </c:pt>
              </c:numCache>
            </c:numRef>
          </c:val>
          <c:extLst>
            <c:ext xmlns:c16="http://schemas.microsoft.com/office/drawing/2014/chart" uri="{C3380CC4-5D6E-409C-BE32-E72D297353CC}">
              <c16:uniqueId val="{00000002-36A3-4695-BC55-DAB0842BC0F3}"/>
            </c:ext>
          </c:extLst>
        </c:ser>
        <c:ser>
          <c:idx val="3"/>
          <c:order val="3"/>
          <c:tx>
            <c:strRef>
              <c:f>'Q15_Tab 31-36'!$E$4</c:f>
              <c:strCache>
                <c:ptCount val="1"/>
                <c:pt idx="0">
                  <c:v>certains salariés (10 % à 29 %)</c:v>
                </c:pt>
              </c:strCache>
            </c:strRef>
          </c:tx>
          <c:spPr>
            <a:solidFill>
              <a:schemeClr val="accent4"/>
            </a:solidFill>
            <a:ln>
              <a:noFill/>
            </a:ln>
            <a:effectLst/>
          </c:spPr>
          <c:invertIfNegative val="0"/>
          <c:cat>
            <c:strRef>
              <c:f>'Q15_Tab 31-36'!$A$5:$A$21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31-36'!$E$5:$E$21</c:f>
              <c:numCache>
                <c:formatCode>0.0</c:formatCode>
                <c:ptCount val="17"/>
                <c:pt idx="0">
                  <c:v>7.3999999999999995</c:v>
                </c:pt>
                <c:pt idx="1">
                  <c:v>2.5</c:v>
                </c:pt>
                <c:pt idx="2">
                  <c:v>1.4000000000000001</c:v>
                </c:pt>
                <c:pt idx="3">
                  <c:v>0</c:v>
                </c:pt>
                <c:pt idx="4">
                  <c:v>5.7</c:v>
                </c:pt>
                <c:pt idx="5">
                  <c:v>3.1</c:v>
                </c:pt>
                <c:pt idx="6">
                  <c:v>3.9</c:v>
                </c:pt>
                <c:pt idx="7">
                  <c:v>0.89999999999999991</c:v>
                </c:pt>
                <c:pt idx="8">
                  <c:v>5.3</c:v>
                </c:pt>
                <c:pt idx="9">
                  <c:v>4.2</c:v>
                </c:pt>
                <c:pt idx="10">
                  <c:v>5.7</c:v>
                </c:pt>
                <c:pt idx="11">
                  <c:v>34.1</c:v>
                </c:pt>
                <c:pt idx="12">
                  <c:v>16.3</c:v>
                </c:pt>
                <c:pt idx="13">
                  <c:v>16.900000000000002</c:v>
                </c:pt>
                <c:pt idx="14">
                  <c:v>12.3</c:v>
                </c:pt>
                <c:pt idx="15">
                  <c:v>1.7999999999999998</c:v>
                </c:pt>
                <c:pt idx="16">
                  <c:v>9.1</c:v>
                </c:pt>
              </c:numCache>
            </c:numRef>
          </c:val>
          <c:extLst>
            <c:ext xmlns:c16="http://schemas.microsoft.com/office/drawing/2014/chart" uri="{C3380CC4-5D6E-409C-BE32-E72D297353CC}">
              <c16:uniqueId val="{00000003-36A3-4695-BC55-DAB0842BC0F3}"/>
            </c:ext>
          </c:extLst>
        </c:ser>
        <c:ser>
          <c:idx val="4"/>
          <c:order val="4"/>
          <c:tx>
            <c:strRef>
              <c:f>'Q15_Tab 31-36'!$F$4</c:f>
              <c:strCache>
                <c:ptCount val="1"/>
                <c:pt idx="0">
                  <c:v>quelques salariés (moins de 10 %)</c:v>
                </c:pt>
              </c:strCache>
            </c:strRef>
          </c:tx>
          <c:spPr>
            <a:solidFill>
              <a:schemeClr val="accent5"/>
            </a:solidFill>
            <a:ln>
              <a:noFill/>
            </a:ln>
            <a:effectLst/>
          </c:spPr>
          <c:invertIfNegative val="0"/>
          <c:cat>
            <c:strRef>
              <c:f>'Q15_Tab 31-36'!$A$5:$A$21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31-36'!$F$5:$F$21</c:f>
              <c:numCache>
                <c:formatCode>0.0</c:formatCode>
                <c:ptCount val="17"/>
                <c:pt idx="0">
                  <c:v>6</c:v>
                </c:pt>
                <c:pt idx="1">
                  <c:v>0</c:v>
                </c:pt>
                <c:pt idx="2">
                  <c:v>1.4000000000000001</c:v>
                </c:pt>
                <c:pt idx="3">
                  <c:v>0</c:v>
                </c:pt>
                <c:pt idx="4">
                  <c:v>6</c:v>
                </c:pt>
                <c:pt idx="5">
                  <c:v>4.1000000000000005</c:v>
                </c:pt>
                <c:pt idx="6">
                  <c:v>2.1999999999999997</c:v>
                </c:pt>
                <c:pt idx="7">
                  <c:v>1.0999999999999999</c:v>
                </c:pt>
                <c:pt idx="8">
                  <c:v>2.8000000000000003</c:v>
                </c:pt>
                <c:pt idx="9">
                  <c:v>8.6</c:v>
                </c:pt>
                <c:pt idx="10">
                  <c:v>16.400000000000002</c:v>
                </c:pt>
                <c:pt idx="11">
                  <c:v>28.299999999999997</c:v>
                </c:pt>
                <c:pt idx="12">
                  <c:v>5</c:v>
                </c:pt>
                <c:pt idx="13">
                  <c:v>3.3000000000000003</c:v>
                </c:pt>
                <c:pt idx="14">
                  <c:v>8.1</c:v>
                </c:pt>
                <c:pt idx="15">
                  <c:v>1.3</c:v>
                </c:pt>
                <c:pt idx="16">
                  <c:v>9.1</c:v>
                </c:pt>
              </c:numCache>
            </c:numRef>
          </c:val>
          <c:extLst>
            <c:ext xmlns:c16="http://schemas.microsoft.com/office/drawing/2014/chart" uri="{C3380CC4-5D6E-409C-BE32-E72D297353CC}">
              <c16:uniqueId val="{00000004-36A3-4695-BC55-DAB0842BC0F3}"/>
            </c:ext>
          </c:extLst>
        </c:ser>
        <c:ser>
          <c:idx val="5"/>
          <c:order val="5"/>
          <c:tx>
            <c:strRef>
              <c:f>'Q15_Tab 31-36'!$G$4</c:f>
              <c:strCache>
                <c:ptCount val="1"/>
                <c:pt idx="0">
                  <c:v>aucun salarié</c:v>
                </c:pt>
              </c:strCache>
            </c:strRef>
          </c:tx>
          <c:spPr>
            <a:solidFill>
              <a:schemeClr val="accent6"/>
            </a:solidFill>
            <a:ln>
              <a:noFill/>
            </a:ln>
            <a:effectLst/>
          </c:spPr>
          <c:invertIfNegative val="0"/>
          <c:cat>
            <c:strRef>
              <c:f>'Q15_Tab 31-36'!$A$5:$A$21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31-36'!$G$5:$G$21</c:f>
              <c:numCache>
                <c:formatCode>0.0</c:formatCode>
                <c:ptCount val="17"/>
                <c:pt idx="0">
                  <c:v>4.7</c:v>
                </c:pt>
                <c:pt idx="1">
                  <c:v>1.7000000000000002</c:v>
                </c:pt>
                <c:pt idx="2">
                  <c:v>3.5000000000000004</c:v>
                </c:pt>
                <c:pt idx="3">
                  <c:v>0</c:v>
                </c:pt>
                <c:pt idx="4">
                  <c:v>2.8000000000000003</c:v>
                </c:pt>
                <c:pt idx="5">
                  <c:v>1.2</c:v>
                </c:pt>
                <c:pt idx="6">
                  <c:v>3.1</c:v>
                </c:pt>
                <c:pt idx="7">
                  <c:v>1.5</c:v>
                </c:pt>
                <c:pt idx="8">
                  <c:v>5.0999999999999996</c:v>
                </c:pt>
                <c:pt idx="9">
                  <c:v>5</c:v>
                </c:pt>
                <c:pt idx="10">
                  <c:v>8</c:v>
                </c:pt>
                <c:pt idx="11">
                  <c:v>7.8</c:v>
                </c:pt>
                <c:pt idx="12">
                  <c:v>3.1</c:v>
                </c:pt>
                <c:pt idx="13">
                  <c:v>5.0999999999999996</c:v>
                </c:pt>
                <c:pt idx="14">
                  <c:v>6.1</c:v>
                </c:pt>
                <c:pt idx="15">
                  <c:v>4.5999999999999996</c:v>
                </c:pt>
                <c:pt idx="16">
                  <c:v>6.8000000000000007</c:v>
                </c:pt>
              </c:numCache>
            </c:numRef>
          </c:val>
          <c:extLst>
            <c:ext xmlns:c16="http://schemas.microsoft.com/office/drawing/2014/chart" uri="{C3380CC4-5D6E-409C-BE32-E72D297353CC}">
              <c16:uniqueId val="{00000005-36A3-4695-BC55-DAB0842BC0F3}"/>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Télétravail ou</a:t>
            </a:r>
            <a:r>
              <a:rPr lang="fr-FR" baseline="0"/>
              <a:t> travail à distance</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'Q15_Tab 31-36'!$B$56</c:f>
              <c:strCache>
                <c:ptCount val="1"/>
                <c:pt idx="0">
                  <c:v>la plupart des salariés (80 % ou plus)</c:v>
                </c:pt>
              </c:strCache>
            </c:strRef>
          </c:tx>
          <c:spPr>
            <a:solidFill>
              <a:schemeClr val="accent1"/>
            </a:solidFill>
            <a:ln>
              <a:noFill/>
            </a:ln>
            <a:effectLst/>
          </c:spPr>
          <c:invertIfNegative val="0"/>
          <c:cat>
            <c:strRef>
              <c:f>'Q15_Tab 31-36'!$A$57:$A$73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31-36'!$B$57:$B$73</c:f>
              <c:numCache>
                <c:formatCode>0.0</c:formatCode>
                <c:ptCount val="17"/>
                <c:pt idx="0">
                  <c:v>5.8999999999999995</c:v>
                </c:pt>
                <c:pt idx="1">
                  <c:v>0</c:v>
                </c:pt>
                <c:pt idx="2">
                  <c:v>0.70000000000000007</c:v>
                </c:pt>
                <c:pt idx="3">
                  <c:v>0</c:v>
                </c:pt>
                <c:pt idx="4">
                  <c:v>6.2</c:v>
                </c:pt>
                <c:pt idx="5">
                  <c:v>5.0999999999999996</c:v>
                </c:pt>
                <c:pt idx="6">
                  <c:v>1.6</c:v>
                </c:pt>
                <c:pt idx="7">
                  <c:v>0.89999999999999991</c:v>
                </c:pt>
                <c:pt idx="8">
                  <c:v>5.2</c:v>
                </c:pt>
                <c:pt idx="9">
                  <c:v>1.0999999999999999</c:v>
                </c:pt>
                <c:pt idx="10">
                  <c:v>0</c:v>
                </c:pt>
                <c:pt idx="11">
                  <c:v>31.2</c:v>
                </c:pt>
                <c:pt idx="12">
                  <c:v>12.6</c:v>
                </c:pt>
                <c:pt idx="13">
                  <c:v>2.9000000000000004</c:v>
                </c:pt>
                <c:pt idx="14">
                  <c:v>10.100000000000001</c:v>
                </c:pt>
                <c:pt idx="15">
                  <c:v>2.1</c:v>
                </c:pt>
                <c:pt idx="16">
                  <c:v>7.5</c:v>
                </c:pt>
              </c:numCache>
            </c:numRef>
          </c:val>
          <c:extLst>
            <c:ext xmlns:c16="http://schemas.microsoft.com/office/drawing/2014/chart" uri="{C3380CC4-5D6E-409C-BE32-E72D297353CC}">
              <c16:uniqueId val="{00000000-8EE2-41D2-BD4A-13672AD02006}"/>
            </c:ext>
          </c:extLst>
        </c:ser>
        <c:ser>
          <c:idx val="1"/>
          <c:order val="1"/>
          <c:tx>
            <c:strRef>
              <c:f>'Q15_Tab 31-36'!$C$56</c:f>
              <c:strCache>
                <c:ptCount val="1"/>
                <c:pt idx="0">
                  <c:v>une majorité des salariés (50 % à 79 %)</c:v>
                </c:pt>
              </c:strCache>
            </c:strRef>
          </c:tx>
          <c:spPr>
            <a:solidFill>
              <a:schemeClr val="accent2"/>
            </a:solidFill>
            <a:ln>
              <a:noFill/>
            </a:ln>
            <a:effectLst/>
          </c:spPr>
          <c:invertIfNegative val="0"/>
          <c:cat>
            <c:strRef>
              <c:f>'Q15_Tab 31-36'!$A$57:$A$73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31-36'!$C$57:$C$73</c:f>
              <c:numCache>
                <c:formatCode>0.0</c:formatCode>
                <c:ptCount val="17"/>
                <c:pt idx="0">
                  <c:v>8.3000000000000007</c:v>
                </c:pt>
                <c:pt idx="1">
                  <c:v>0</c:v>
                </c:pt>
                <c:pt idx="2">
                  <c:v>3.4000000000000004</c:v>
                </c:pt>
                <c:pt idx="3">
                  <c:v>0</c:v>
                </c:pt>
                <c:pt idx="4">
                  <c:v>8.7999999999999989</c:v>
                </c:pt>
                <c:pt idx="5">
                  <c:v>5.8999999999999995</c:v>
                </c:pt>
                <c:pt idx="6">
                  <c:v>3.4000000000000004</c:v>
                </c:pt>
                <c:pt idx="7">
                  <c:v>0.6</c:v>
                </c:pt>
                <c:pt idx="8">
                  <c:v>4.7</c:v>
                </c:pt>
                <c:pt idx="9">
                  <c:v>16</c:v>
                </c:pt>
                <c:pt idx="10">
                  <c:v>1.3</c:v>
                </c:pt>
                <c:pt idx="11">
                  <c:v>30.099999999999998</c:v>
                </c:pt>
                <c:pt idx="12">
                  <c:v>19.100000000000001</c:v>
                </c:pt>
                <c:pt idx="13">
                  <c:v>18.099999999999998</c:v>
                </c:pt>
                <c:pt idx="14">
                  <c:v>12.1</c:v>
                </c:pt>
                <c:pt idx="15">
                  <c:v>2.4</c:v>
                </c:pt>
                <c:pt idx="16">
                  <c:v>7.3</c:v>
                </c:pt>
              </c:numCache>
            </c:numRef>
          </c:val>
          <c:extLst>
            <c:ext xmlns:c16="http://schemas.microsoft.com/office/drawing/2014/chart" uri="{C3380CC4-5D6E-409C-BE32-E72D297353CC}">
              <c16:uniqueId val="{00000001-8EE2-41D2-BD4A-13672AD02006}"/>
            </c:ext>
          </c:extLst>
        </c:ser>
        <c:ser>
          <c:idx val="2"/>
          <c:order val="2"/>
          <c:tx>
            <c:strRef>
              <c:f>'Q15_Tab 31-36'!$D$56</c:f>
              <c:strCache>
                <c:ptCount val="1"/>
                <c:pt idx="0">
                  <c:v>un nombre conséquent de salariés (30 % à 49 %)</c:v>
                </c:pt>
              </c:strCache>
            </c:strRef>
          </c:tx>
          <c:spPr>
            <a:solidFill>
              <a:schemeClr val="accent3"/>
            </a:solidFill>
            <a:ln>
              <a:noFill/>
            </a:ln>
            <a:effectLst/>
          </c:spPr>
          <c:invertIfNegative val="0"/>
          <c:cat>
            <c:strRef>
              <c:f>'Q15_Tab 31-36'!$A$57:$A$73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31-36'!$D$57:$D$73</c:f>
              <c:numCache>
                <c:formatCode>0.0</c:formatCode>
                <c:ptCount val="17"/>
                <c:pt idx="0">
                  <c:v>8.4</c:v>
                </c:pt>
                <c:pt idx="1">
                  <c:v>24.8</c:v>
                </c:pt>
                <c:pt idx="2">
                  <c:v>4.2</c:v>
                </c:pt>
                <c:pt idx="3">
                  <c:v>0</c:v>
                </c:pt>
                <c:pt idx="4">
                  <c:v>18.3</c:v>
                </c:pt>
                <c:pt idx="5">
                  <c:v>24.8</c:v>
                </c:pt>
                <c:pt idx="6">
                  <c:v>6.1</c:v>
                </c:pt>
                <c:pt idx="7">
                  <c:v>1.4000000000000001</c:v>
                </c:pt>
                <c:pt idx="8">
                  <c:v>5.5</c:v>
                </c:pt>
                <c:pt idx="9">
                  <c:v>2.2999999999999998</c:v>
                </c:pt>
                <c:pt idx="10">
                  <c:v>0</c:v>
                </c:pt>
                <c:pt idx="11">
                  <c:v>21.3</c:v>
                </c:pt>
                <c:pt idx="12">
                  <c:v>27.800000000000004</c:v>
                </c:pt>
                <c:pt idx="13">
                  <c:v>12.6</c:v>
                </c:pt>
                <c:pt idx="14">
                  <c:v>10.199999999999999</c:v>
                </c:pt>
                <c:pt idx="15">
                  <c:v>2.4</c:v>
                </c:pt>
                <c:pt idx="16">
                  <c:v>7.1999999999999993</c:v>
                </c:pt>
              </c:numCache>
            </c:numRef>
          </c:val>
          <c:extLst>
            <c:ext xmlns:c16="http://schemas.microsoft.com/office/drawing/2014/chart" uri="{C3380CC4-5D6E-409C-BE32-E72D297353CC}">
              <c16:uniqueId val="{00000002-8EE2-41D2-BD4A-13672AD02006}"/>
            </c:ext>
          </c:extLst>
        </c:ser>
        <c:ser>
          <c:idx val="3"/>
          <c:order val="3"/>
          <c:tx>
            <c:strRef>
              <c:f>'Q15_Tab 31-36'!$E$56</c:f>
              <c:strCache>
                <c:ptCount val="1"/>
                <c:pt idx="0">
                  <c:v>certains salariés (10 % à 29 %)</c:v>
                </c:pt>
              </c:strCache>
            </c:strRef>
          </c:tx>
          <c:spPr>
            <a:solidFill>
              <a:schemeClr val="accent4"/>
            </a:solidFill>
            <a:ln>
              <a:noFill/>
            </a:ln>
            <a:effectLst/>
          </c:spPr>
          <c:invertIfNegative val="0"/>
          <c:cat>
            <c:strRef>
              <c:f>'Q15_Tab 31-36'!$A$57:$A$73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31-36'!$E$57:$E$73</c:f>
              <c:numCache>
                <c:formatCode>0.0</c:formatCode>
                <c:ptCount val="17"/>
                <c:pt idx="0">
                  <c:v>11.600000000000001</c:v>
                </c:pt>
                <c:pt idx="1">
                  <c:v>19.5</c:v>
                </c:pt>
                <c:pt idx="2">
                  <c:v>10.8</c:v>
                </c:pt>
                <c:pt idx="3">
                  <c:v>96</c:v>
                </c:pt>
                <c:pt idx="4">
                  <c:v>23.599999999999998</c:v>
                </c:pt>
                <c:pt idx="5">
                  <c:v>32.300000000000004</c:v>
                </c:pt>
                <c:pt idx="6">
                  <c:v>17.299999999999997</c:v>
                </c:pt>
                <c:pt idx="7">
                  <c:v>8.5</c:v>
                </c:pt>
                <c:pt idx="8">
                  <c:v>9.5</c:v>
                </c:pt>
                <c:pt idx="9">
                  <c:v>11.899999999999999</c:v>
                </c:pt>
                <c:pt idx="10">
                  <c:v>1.3</c:v>
                </c:pt>
                <c:pt idx="11">
                  <c:v>7.9</c:v>
                </c:pt>
                <c:pt idx="12">
                  <c:v>16.2</c:v>
                </c:pt>
                <c:pt idx="13">
                  <c:v>15.5</c:v>
                </c:pt>
                <c:pt idx="14">
                  <c:v>12.9</c:v>
                </c:pt>
                <c:pt idx="15">
                  <c:v>6.6000000000000005</c:v>
                </c:pt>
                <c:pt idx="16">
                  <c:v>10.4</c:v>
                </c:pt>
              </c:numCache>
            </c:numRef>
          </c:val>
          <c:extLst>
            <c:ext xmlns:c16="http://schemas.microsoft.com/office/drawing/2014/chart" uri="{C3380CC4-5D6E-409C-BE32-E72D297353CC}">
              <c16:uniqueId val="{00000003-8EE2-41D2-BD4A-13672AD02006}"/>
            </c:ext>
          </c:extLst>
        </c:ser>
        <c:ser>
          <c:idx val="4"/>
          <c:order val="4"/>
          <c:tx>
            <c:strRef>
              <c:f>'Q15_Tab 31-36'!$F$56</c:f>
              <c:strCache>
                <c:ptCount val="1"/>
                <c:pt idx="0">
                  <c:v>quelques salariés (moins de 10 %)</c:v>
                </c:pt>
              </c:strCache>
            </c:strRef>
          </c:tx>
          <c:spPr>
            <a:solidFill>
              <a:schemeClr val="accent5"/>
            </a:solidFill>
            <a:ln>
              <a:noFill/>
            </a:ln>
            <a:effectLst/>
          </c:spPr>
          <c:invertIfNegative val="0"/>
          <c:cat>
            <c:strRef>
              <c:f>'Q15_Tab 31-36'!$A$57:$A$73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31-36'!$F$57:$F$73</c:f>
              <c:numCache>
                <c:formatCode>0.0</c:formatCode>
                <c:ptCount val="17"/>
                <c:pt idx="0">
                  <c:v>30.099999999999998</c:v>
                </c:pt>
                <c:pt idx="1">
                  <c:v>32.200000000000003</c:v>
                </c:pt>
                <c:pt idx="2">
                  <c:v>39.300000000000004</c:v>
                </c:pt>
                <c:pt idx="3">
                  <c:v>0</c:v>
                </c:pt>
                <c:pt idx="4">
                  <c:v>30.5</c:v>
                </c:pt>
                <c:pt idx="5">
                  <c:v>23.599999999999998</c:v>
                </c:pt>
                <c:pt idx="6">
                  <c:v>42.5</c:v>
                </c:pt>
                <c:pt idx="7">
                  <c:v>33.200000000000003</c:v>
                </c:pt>
                <c:pt idx="8">
                  <c:v>30.599999999999998</c:v>
                </c:pt>
                <c:pt idx="9">
                  <c:v>28.799999999999997</c:v>
                </c:pt>
                <c:pt idx="10">
                  <c:v>30.599999999999998</c:v>
                </c:pt>
                <c:pt idx="11">
                  <c:v>6.2</c:v>
                </c:pt>
                <c:pt idx="12">
                  <c:v>20</c:v>
                </c:pt>
                <c:pt idx="13">
                  <c:v>29.4</c:v>
                </c:pt>
                <c:pt idx="14">
                  <c:v>27.3</c:v>
                </c:pt>
                <c:pt idx="15">
                  <c:v>35.299999999999997</c:v>
                </c:pt>
                <c:pt idx="16">
                  <c:v>29.299999999999997</c:v>
                </c:pt>
              </c:numCache>
            </c:numRef>
          </c:val>
          <c:extLst>
            <c:ext xmlns:c16="http://schemas.microsoft.com/office/drawing/2014/chart" uri="{C3380CC4-5D6E-409C-BE32-E72D297353CC}">
              <c16:uniqueId val="{00000004-8EE2-41D2-BD4A-13672AD02006}"/>
            </c:ext>
          </c:extLst>
        </c:ser>
        <c:ser>
          <c:idx val="5"/>
          <c:order val="5"/>
          <c:tx>
            <c:strRef>
              <c:f>'Q15_Tab 31-36'!$G$56</c:f>
              <c:strCache>
                <c:ptCount val="1"/>
                <c:pt idx="0">
                  <c:v>aucun salarié</c:v>
                </c:pt>
              </c:strCache>
            </c:strRef>
          </c:tx>
          <c:spPr>
            <a:solidFill>
              <a:schemeClr val="accent6"/>
            </a:solidFill>
            <a:ln>
              <a:noFill/>
            </a:ln>
            <a:effectLst/>
          </c:spPr>
          <c:invertIfNegative val="0"/>
          <c:cat>
            <c:strRef>
              <c:f>'Q15_Tab 31-36'!$A$57:$A$73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31-36'!$G$57:$G$73</c:f>
              <c:numCache>
                <c:formatCode>0.0</c:formatCode>
                <c:ptCount val="17"/>
                <c:pt idx="0">
                  <c:v>35.799999999999997</c:v>
                </c:pt>
                <c:pt idx="1">
                  <c:v>13.900000000000002</c:v>
                </c:pt>
                <c:pt idx="2">
                  <c:v>41.6</c:v>
                </c:pt>
                <c:pt idx="3">
                  <c:v>0</c:v>
                </c:pt>
                <c:pt idx="4">
                  <c:v>12.5</c:v>
                </c:pt>
                <c:pt idx="5">
                  <c:v>8.4</c:v>
                </c:pt>
                <c:pt idx="6">
                  <c:v>29.2</c:v>
                </c:pt>
                <c:pt idx="7">
                  <c:v>55.400000000000006</c:v>
                </c:pt>
                <c:pt idx="8">
                  <c:v>44.4</c:v>
                </c:pt>
                <c:pt idx="9">
                  <c:v>39.900000000000006</c:v>
                </c:pt>
                <c:pt idx="10">
                  <c:v>65.8</c:v>
                </c:pt>
                <c:pt idx="11">
                  <c:v>3.3000000000000003</c:v>
                </c:pt>
                <c:pt idx="12">
                  <c:v>4.3</c:v>
                </c:pt>
                <c:pt idx="13">
                  <c:v>21.6</c:v>
                </c:pt>
                <c:pt idx="14">
                  <c:v>27.400000000000002</c:v>
                </c:pt>
                <c:pt idx="15">
                  <c:v>51.2</c:v>
                </c:pt>
                <c:pt idx="16">
                  <c:v>38.299999999999997</c:v>
                </c:pt>
              </c:numCache>
            </c:numRef>
          </c:val>
          <c:extLst>
            <c:ext xmlns:c16="http://schemas.microsoft.com/office/drawing/2014/chart" uri="{C3380CC4-5D6E-409C-BE32-E72D297353CC}">
              <c16:uniqueId val="{00000005-8EE2-41D2-BD4A-13672AD02006}"/>
            </c:ext>
          </c:extLst>
        </c:ser>
        <c:ser>
          <c:idx val="6"/>
          <c:order val="6"/>
          <c:tx>
            <c:strRef>
              <c:f>'Q15_Tab 31-36'!#REF!</c:f>
              <c:strCache>
                <c:ptCount val="1"/>
                <c:pt idx="0">
                  <c:v>#REF!</c:v>
                </c:pt>
              </c:strCache>
            </c:strRef>
          </c:tx>
          <c:spPr>
            <a:solidFill>
              <a:schemeClr val="accent1">
                <a:lumMod val="60000"/>
              </a:schemeClr>
            </a:solidFill>
            <a:ln>
              <a:noFill/>
            </a:ln>
            <a:effectLst/>
          </c:spPr>
          <c:invertIfNegative val="0"/>
          <c:cat>
            <c:strRef>
              <c:f>'Q15_Tab 31-36'!$A$57:$A$73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31-36'!#REF!</c:f>
              <c:numCache>
                <c:formatCode>General</c:formatCode>
                <c:ptCount val="1"/>
                <c:pt idx="0">
                  <c:v>1</c:v>
                </c:pt>
              </c:numCache>
            </c:numRef>
          </c:val>
          <c:extLst>
            <c:ext xmlns:c16="http://schemas.microsoft.com/office/drawing/2014/chart" uri="{C3380CC4-5D6E-409C-BE32-E72D297353CC}">
              <c16:uniqueId val="{00000000-2367-47F5-8871-AAFB9503B33D}"/>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egendEntry>
        <c:idx val="6"/>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Cause de la diminution de l'activité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94-4A4B-88C4-0183CE3B26D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794-4A4B-88C4-0183CE3B26D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794-4A4B-88C4-0183CE3B26D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794-4A4B-88C4-0183CE3B26DF}"/>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'Q3_Tab 4'!$A$4:$A$7</c:f>
              <c:strCache>
                <c:ptCount val="4"/>
                <c:pt idx="0">
                  <c:v>La crise sanitaire a réduit directement votre activité du fait d'une perte de débouchés</c:v>
                </c:pt>
                <c:pt idx="1">
                  <c:v>La crise sanitaire a réduit directement votre activité du fait de fermetures administratives</c:v>
                </c:pt>
                <c:pt idx="2">
                  <c:v>La crise sanitaire a réduit directement votre activité du fait de difficultés d'approvisionnement</c:v>
                </c:pt>
                <c:pt idx="3">
                  <c:v>La crise sanitaire a réduit votre activité en raison d'un manque de personnel pouvant travailler</c:v>
                </c:pt>
              </c:strCache>
            </c:strRef>
          </c:cat>
          <c:val>
            <c:numRef>
              <c:f>'Q3_Tab 4'!$B$4:$B$7</c:f>
              <c:numCache>
                <c:formatCode>0.0</c:formatCode>
                <c:ptCount val="4"/>
                <c:pt idx="0">
                  <c:v>64</c:v>
                </c:pt>
                <c:pt idx="1">
                  <c:v>19.7</c:v>
                </c:pt>
                <c:pt idx="2">
                  <c:v>6.2</c:v>
                </c:pt>
                <c:pt idx="3">
                  <c:v>10.100000000000001</c:v>
                </c:pt>
              </c:numCache>
            </c:numRef>
          </c:val>
          <c:extLst>
            <c:ext xmlns:c16="http://schemas.microsoft.com/office/drawing/2014/chart" uri="{C3380CC4-5D6E-409C-BE32-E72D297353CC}">
              <c16:uniqueId val="{00000000-64D0-4AFF-B9C0-890A7DDCA9E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085615104563528"/>
          <c:y val="0.17801284413916349"/>
          <c:w val="0.39054169841673009"/>
          <c:h val="0.6354636734238007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Chômage</a:t>
            </a:r>
            <a:r>
              <a:rPr lang="fr-FR" baseline="0"/>
              <a:t> partiel complet</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'Q15_Tab 31-36'!$B$108</c:f>
              <c:strCache>
                <c:ptCount val="1"/>
                <c:pt idx="0">
                  <c:v>la plupart des salariés (80 % ou plus)</c:v>
                </c:pt>
              </c:strCache>
            </c:strRef>
          </c:tx>
          <c:spPr>
            <a:solidFill>
              <a:schemeClr val="accent1"/>
            </a:solidFill>
            <a:ln>
              <a:noFill/>
            </a:ln>
            <a:effectLst/>
          </c:spPr>
          <c:invertIfNegative val="0"/>
          <c:cat>
            <c:strRef>
              <c:f>'Q15_Tab 31-36'!$A$109:$A$125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31-36'!$B$109:$B$125</c:f>
              <c:numCache>
                <c:formatCode>0.0</c:formatCode>
                <c:ptCount val="17"/>
                <c:pt idx="0">
                  <c:v>1.4000000000000001</c:v>
                </c:pt>
                <c:pt idx="1">
                  <c:v>0</c:v>
                </c:pt>
                <c:pt idx="2">
                  <c:v>0</c:v>
                </c:pt>
                <c:pt idx="3">
                  <c:v>0</c:v>
                </c:pt>
                <c:pt idx="4">
                  <c:v>0</c:v>
                </c:pt>
                <c:pt idx="5">
                  <c:v>0.5</c:v>
                </c:pt>
                <c:pt idx="6">
                  <c:v>0.8</c:v>
                </c:pt>
                <c:pt idx="7">
                  <c:v>0.6</c:v>
                </c:pt>
                <c:pt idx="8">
                  <c:v>0.89999999999999991</c:v>
                </c:pt>
                <c:pt idx="9">
                  <c:v>1.4000000000000001</c:v>
                </c:pt>
                <c:pt idx="10">
                  <c:v>11.600000000000001</c:v>
                </c:pt>
                <c:pt idx="11">
                  <c:v>0.2</c:v>
                </c:pt>
                <c:pt idx="12">
                  <c:v>0</c:v>
                </c:pt>
                <c:pt idx="13">
                  <c:v>0</c:v>
                </c:pt>
                <c:pt idx="14">
                  <c:v>1.3</c:v>
                </c:pt>
                <c:pt idx="15">
                  <c:v>0.4</c:v>
                </c:pt>
                <c:pt idx="16">
                  <c:v>6.2</c:v>
                </c:pt>
              </c:numCache>
            </c:numRef>
          </c:val>
          <c:extLst>
            <c:ext xmlns:c16="http://schemas.microsoft.com/office/drawing/2014/chart" uri="{C3380CC4-5D6E-409C-BE32-E72D297353CC}">
              <c16:uniqueId val="{00000000-58C1-4380-B7A5-B9DF30EC8722}"/>
            </c:ext>
          </c:extLst>
        </c:ser>
        <c:ser>
          <c:idx val="1"/>
          <c:order val="1"/>
          <c:tx>
            <c:strRef>
              <c:f>'Q15_Tab 31-36'!$C$108</c:f>
              <c:strCache>
                <c:ptCount val="1"/>
                <c:pt idx="0">
                  <c:v>une majorité des salariés (50 % à 79 %)</c:v>
                </c:pt>
              </c:strCache>
            </c:strRef>
          </c:tx>
          <c:spPr>
            <a:solidFill>
              <a:schemeClr val="accent2"/>
            </a:solidFill>
            <a:ln>
              <a:noFill/>
            </a:ln>
            <a:effectLst/>
          </c:spPr>
          <c:invertIfNegative val="0"/>
          <c:cat>
            <c:strRef>
              <c:f>'Q15_Tab 31-36'!$A$109:$A$125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31-36'!$C$109:$C$125</c:f>
              <c:numCache>
                <c:formatCode>0.0</c:formatCode>
                <c:ptCount val="17"/>
                <c:pt idx="0">
                  <c:v>2.2999999999999998</c:v>
                </c:pt>
                <c:pt idx="1">
                  <c:v>0</c:v>
                </c:pt>
                <c:pt idx="2">
                  <c:v>1.0999999999999999</c:v>
                </c:pt>
                <c:pt idx="3">
                  <c:v>0</c:v>
                </c:pt>
                <c:pt idx="4">
                  <c:v>0.70000000000000007</c:v>
                </c:pt>
                <c:pt idx="5">
                  <c:v>1.0999999999999999</c:v>
                </c:pt>
                <c:pt idx="6">
                  <c:v>2.4</c:v>
                </c:pt>
                <c:pt idx="7">
                  <c:v>0</c:v>
                </c:pt>
                <c:pt idx="8">
                  <c:v>1.0999999999999999</c:v>
                </c:pt>
                <c:pt idx="9">
                  <c:v>3</c:v>
                </c:pt>
                <c:pt idx="10">
                  <c:v>18.399999999999999</c:v>
                </c:pt>
                <c:pt idx="11">
                  <c:v>1.3</c:v>
                </c:pt>
                <c:pt idx="12">
                  <c:v>0.3</c:v>
                </c:pt>
                <c:pt idx="13">
                  <c:v>0</c:v>
                </c:pt>
                <c:pt idx="14">
                  <c:v>2.7</c:v>
                </c:pt>
                <c:pt idx="15">
                  <c:v>0.3</c:v>
                </c:pt>
                <c:pt idx="16">
                  <c:v>4.3</c:v>
                </c:pt>
              </c:numCache>
            </c:numRef>
          </c:val>
          <c:extLst>
            <c:ext xmlns:c16="http://schemas.microsoft.com/office/drawing/2014/chart" uri="{C3380CC4-5D6E-409C-BE32-E72D297353CC}">
              <c16:uniqueId val="{00000001-58C1-4380-B7A5-B9DF30EC8722}"/>
            </c:ext>
          </c:extLst>
        </c:ser>
        <c:ser>
          <c:idx val="2"/>
          <c:order val="2"/>
          <c:tx>
            <c:strRef>
              <c:f>'Q15_Tab 31-36'!$D$108</c:f>
              <c:strCache>
                <c:ptCount val="1"/>
                <c:pt idx="0">
                  <c:v>un nombre conséquent de salariés (30 % à 49 %)</c:v>
                </c:pt>
              </c:strCache>
            </c:strRef>
          </c:tx>
          <c:spPr>
            <a:solidFill>
              <a:schemeClr val="accent3"/>
            </a:solidFill>
            <a:ln>
              <a:noFill/>
            </a:ln>
            <a:effectLst/>
          </c:spPr>
          <c:invertIfNegative val="0"/>
          <c:cat>
            <c:strRef>
              <c:f>'Q15_Tab 31-36'!$A$109:$A$125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31-36'!$D$109:$D$125</c:f>
              <c:numCache>
                <c:formatCode>0.0</c:formatCode>
                <c:ptCount val="17"/>
                <c:pt idx="0">
                  <c:v>2.6</c:v>
                </c:pt>
                <c:pt idx="1">
                  <c:v>0</c:v>
                </c:pt>
                <c:pt idx="2">
                  <c:v>1</c:v>
                </c:pt>
                <c:pt idx="3">
                  <c:v>0</c:v>
                </c:pt>
                <c:pt idx="4">
                  <c:v>2.2999999999999998</c:v>
                </c:pt>
                <c:pt idx="5">
                  <c:v>2.1</c:v>
                </c:pt>
                <c:pt idx="6">
                  <c:v>2.9000000000000004</c:v>
                </c:pt>
                <c:pt idx="7">
                  <c:v>0.70000000000000007</c:v>
                </c:pt>
                <c:pt idx="8">
                  <c:v>1.6</c:v>
                </c:pt>
                <c:pt idx="9">
                  <c:v>1.7000000000000002</c:v>
                </c:pt>
                <c:pt idx="10">
                  <c:v>11.899999999999999</c:v>
                </c:pt>
                <c:pt idx="11">
                  <c:v>3.3000000000000003</c:v>
                </c:pt>
                <c:pt idx="12">
                  <c:v>0.4</c:v>
                </c:pt>
                <c:pt idx="13">
                  <c:v>1.7999999999999998</c:v>
                </c:pt>
                <c:pt idx="14">
                  <c:v>4.3</c:v>
                </c:pt>
                <c:pt idx="15">
                  <c:v>0.8</c:v>
                </c:pt>
                <c:pt idx="16">
                  <c:v>6.5</c:v>
                </c:pt>
              </c:numCache>
            </c:numRef>
          </c:val>
          <c:extLst>
            <c:ext xmlns:c16="http://schemas.microsoft.com/office/drawing/2014/chart" uri="{C3380CC4-5D6E-409C-BE32-E72D297353CC}">
              <c16:uniqueId val="{00000002-58C1-4380-B7A5-B9DF30EC8722}"/>
            </c:ext>
          </c:extLst>
        </c:ser>
        <c:ser>
          <c:idx val="3"/>
          <c:order val="3"/>
          <c:tx>
            <c:strRef>
              <c:f>'Q15_Tab 31-36'!$E$108</c:f>
              <c:strCache>
                <c:ptCount val="1"/>
                <c:pt idx="0">
                  <c:v>certains salariés (10 % à 29 %)</c:v>
                </c:pt>
              </c:strCache>
            </c:strRef>
          </c:tx>
          <c:spPr>
            <a:solidFill>
              <a:schemeClr val="accent4"/>
            </a:solidFill>
            <a:ln>
              <a:noFill/>
            </a:ln>
            <a:effectLst/>
          </c:spPr>
          <c:invertIfNegative val="0"/>
          <c:cat>
            <c:strRef>
              <c:f>'Q15_Tab 31-36'!$A$109:$A$125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31-36'!$E$109:$E$125</c:f>
              <c:numCache>
                <c:formatCode>0.0</c:formatCode>
                <c:ptCount val="17"/>
                <c:pt idx="0">
                  <c:v>6.6000000000000005</c:v>
                </c:pt>
                <c:pt idx="1">
                  <c:v>0.4</c:v>
                </c:pt>
                <c:pt idx="2">
                  <c:v>4.8</c:v>
                </c:pt>
                <c:pt idx="3">
                  <c:v>0</c:v>
                </c:pt>
                <c:pt idx="4">
                  <c:v>5.4</c:v>
                </c:pt>
                <c:pt idx="5">
                  <c:v>16.5</c:v>
                </c:pt>
                <c:pt idx="6">
                  <c:v>7.1999999999999993</c:v>
                </c:pt>
                <c:pt idx="7">
                  <c:v>3.5000000000000004</c:v>
                </c:pt>
                <c:pt idx="8">
                  <c:v>6.4</c:v>
                </c:pt>
                <c:pt idx="9">
                  <c:v>12.4</c:v>
                </c:pt>
                <c:pt idx="10">
                  <c:v>7.9</c:v>
                </c:pt>
                <c:pt idx="11">
                  <c:v>7.7</c:v>
                </c:pt>
                <c:pt idx="12">
                  <c:v>1</c:v>
                </c:pt>
                <c:pt idx="13">
                  <c:v>2.1</c:v>
                </c:pt>
                <c:pt idx="14">
                  <c:v>9</c:v>
                </c:pt>
                <c:pt idx="15">
                  <c:v>3.9</c:v>
                </c:pt>
                <c:pt idx="16">
                  <c:v>7.3</c:v>
                </c:pt>
              </c:numCache>
            </c:numRef>
          </c:val>
          <c:extLst>
            <c:ext xmlns:c16="http://schemas.microsoft.com/office/drawing/2014/chart" uri="{C3380CC4-5D6E-409C-BE32-E72D297353CC}">
              <c16:uniqueId val="{00000003-58C1-4380-B7A5-B9DF30EC8722}"/>
            </c:ext>
          </c:extLst>
        </c:ser>
        <c:ser>
          <c:idx val="4"/>
          <c:order val="4"/>
          <c:tx>
            <c:strRef>
              <c:f>'Q15_Tab 31-36'!$F$108</c:f>
              <c:strCache>
                <c:ptCount val="1"/>
                <c:pt idx="0">
                  <c:v>quelques salariés (moins de 10 %)</c:v>
                </c:pt>
              </c:strCache>
            </c:strRef>
          </c:tx>
          <c:spPr>
            <a:solidFill>
              <a:schemeClr val="accent5"/>
            </a:solidFill>
            <a:ln>
              <a:noFill/>
            </a:ln>
            <a:effectLst/>
          </c:spPr>
          <c:invertIfNegative val="0"/>
          <c:cat>
            <c:strRef>
              <c:f>'Q15_Tab 31-36'!$A$109:$A$125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31-36'!$F$109:$F$125</c:f>
              <c:numCache>
                <c:formatCode>0.0</c:formatCode>
                <c:ptCount val="17"/>
                <c:pt idx="0">
                  <c:v>34.5</c:v>
                </c:pt>
                <c:pt idx="1">
                  <c:v>21.7</c:v>
                </c:pt>
                <c:pt idx="2">
                  <c:v>38.299999999999997</c:v>
                </c:pt>
                <c:pt idx="3">
                  <c:v>0</c:v>
                </c:pt>
                <c:pt idx="4">
                  <c:v>48.4</c:v>
                </c:pt>
                <c:pt idx="5">
                  <c:v>65.2</c:v>
                </c:pt>
                <c:pt idx="6">
                  <c:v>38.200000000000003</c:v>
                </c:pt>
                <c:pt idx="7">
                  <c:v>33.4</c:v>
                </c:pt>
                <c:pt idx="8">
                  <c:v>36.9</c:v>
                </c:pt>
                <c:pt idx="9">
                  <c:v>41.6</c:v>
                </c:pt>
                <c:pt idx="10">
                  <c:v>16.7</c:v>
                </c:pt>
                <c:pt idx="11">
                  <c:v>34.799999999999997</c:v>
                </c:pt>
                <c:pt idx="12">
                  <c:v>18.7</c:v>
                </c:pt>
                <c:pt idx="13">
                  <c:v>33.900000000000006</c:v>
                </c:pt>
                <c:pt idx="14">
                  <c:v>34</c:v>
                </c:pt>
                <c:pt idx="15">
                  <c:v>34.699999999999996</c:v>
                </c:pt>
                <c:pt idx="16">
                  <c:v>23.599999999999998</c:v>
                </c:pt>
              </c:numCache>
            </c:numRef>
          </c:val>
          <c:extLst>
            <c:ext xmlns:c16="http://schemas.microsoft.com/office/drawing/2014/chart" uri="{C3380CC4-5D6E-409C-BE32-E72D297353CC}">
              <c16:uniqueId val="{00000004-58C1-4380-B7A5-B9DF30EC8722}"/>
            </c:ext>
          </c:extLst>
        </c:ser>
        <c:ser>
          <c:idx val="5"/>
          <c:order val="5"/>
          <c:tx>
            <c:strRef>
              <c:f>'Q15_Tab 31-36'!$G$108</c:f>
              <c:strCache>
                <c:ptCount val="1"/>
                <c:pt idx="0">
                  <c:v>aucun salarié</c:v>
                </c:pt>
              </c:strCache>
            </c:strRef>
          </c:tx>
          <c:spPr>
            <a:solidFill>
              <a:schemeClr val="accent6"/>
            </a:solidFill>
            <a:ln>
              <a:noFill/>
            </a:ln>
            <a:effectLst/>
          </c:spPr>
          <c:invertIfNegative val="0"/>
          <c:cat>
            <c:strRef>
              <c:f>'Q15_Tab 31-36'!$A$109:$A$125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31-36'!$G$109:$G$125</c:f>
              <c:numCache>
                <c:formatCode>0.0</c:formatCode>
                <c:ptCount val="17"/>
                <c:pt idx="0">
                  <c:v>52.6</c:v>
                </c:pt>
                <c:pt idx="1">
                  <c:v>77.400000000000006</c:v>
                </c:pt>
                <c:pt idx="2">
                  <c:v>54.500000000000007</c:v>
                </c:pt>
                <c:pt idx="3">
                  <c:v>97.399999999999991</c:v>
                </c:pt>
                <c:pt idx="4">
                  <c:v>43</c:v>
                </c:pt>
                <c:pt idx="5">
                  <c:v>14.7</c:v>
                </c:pt>
                <c:pt idx="6">
                  <c:v>48.5</c:v>
                </c:pt>
                <c:pt idx="7">
                  <c:v>61.8</c:v>
                </c:pt>
                <c:pt idx="8">
                  <c:v>53.1</c:v>
                </c:pt>
                <c:pt idx="9">
                  <c:v>39.900000000000006</c:v>
                </c:pt>
                <c:pt idx="10">
                  <c:v>33.4</c:v>
                </c:pt>
                <c:pt idx="11">
                  <c:v>52.900000000000006</c:v>
                </c:pt>
                <c:pt idx="12">
                  <c:v>79.400000000000006</c:v>
                </c:pt>
                <c:pt idx="13">
                  <c:v>60.199999999999996</c:v>
                </c:pt>
                <c:pt idx="14">
                  <c:v>48.699999999999996</c:v>
                </c:pt>
                <c:pt idx="15">
                  <c:v>60</c:v>
                </c:pt>
                <c:pt idx="16">
                  <c:v>52.1</c:v>
                </c:pt>
              </c:numCache>
            </c:numRef>
          </c:val>
          <c:extLst>
            <c:ext xmlns:c16="http://schemas.microsoft.com/office/drawing/2014/chart" uri="{C3380CC4-5D6E-409C-BE32-E72D297353CC}">
              <c16:uniqueId val="{00000005-58C1-4380-B7A5-B9DF30EC8722}"/>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Arrêt maladie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'Q15_Tab 31-36'!$B$161</c:f>
              <c:strCache>
                <c:ptCount val="1"/>
                <c:pt idx="0">
                  <c:v>la plupart des salariés (80 % ou plus)</c:v>
                </c:pt>
              </c:strCache>
            </c:strRef>
          </c:tx>
          <c:spPr>
            <a:solidFill>
              <a:schemeClr val="accent1"/>
            </a:solidFill>
            <a:ln>
              <a:noFill/>
            </a:ln>
            <a:effectLst/>
          </c:spPr>
          <c:invertIfNegative val="0"/>
          <c:cat>
            <c:strRef>
              <c:f>'Q15_Tab 31-36'!$A$162:$A$178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31-36'!$B$162:$B$178</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9BB9-49F4-85D6-5F3EE268CEC2}"/>
            </c:ext>
          </c:extLst>
        </c:ser>
        <c:ser>
          <c:idx val="1"/>
          <c:order val="1"/>
          <c:tx>
            <c:strRef>
              <c:f>'Q15_Tab 31-36'!$C$161</c:f>
              <c:strCache>
                <c:ptCount val="1"/>
                <c:pt idx="0">
                  <c:v>une majorité des salariés (50 % à 79 %)</c:v>
                </c:pt>
              </c:strCache>
            </c:strRef>
          </c:tx>
          <c:spPr>
            <a:solidFill>
              <a:schemeClr val="accent2"/>
            </a:solidFill>
            <a:ln>
              <a:noFill/>
            </a:ln>
            <a:effectLst/>
          </c:spPr>
          <c:invertIfNegative val="0"/>
          <c:cat>
            <c:strRef>
              <c:f>'Q15_Tab 31-36'!$A$162:$A$178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31-36'!$C$162:$C$178</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9BB9-49F4-85D6-5F3EE268CEC2}"/>
            </c:ext>
          </c:extLst>
        </c:ser>
        <c:ser>
          <c:idx val="2"/>
          <c:order val="2"/>
          <c:tx>
            <c:strRef>
              <c:f>'Q15_Tab 31-36'!$D$161</c:f>
              <c:strCache>
                <c:ptCount val="1"/>
                <c:pt idx="0">
                  <c:v>un nombre conséquent de salariés (30 % à 49 %)</c:v>
                </c:pt>
              </c:strCache>
            </c:strRef>
          </c:tx>
          <c:spPr>
            <a:solidFill>
              <a:schemeClr val="accent3"/>
            </a:solidFill>
            <a:ln>
              <a:noFill/>
            </a:ln>
            <a:effectLst/>
          </c:spPr>
          <c:invertIfNegative val="0"/>
          <c:cat>
            <c:strRef>
              <c:f>'Q15_Tab 31-36'!$A$162:$A$178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31-36'!$D$162:$D$178</c:f>
              <c:numCache>
                <c:formatCode>0.0</c:formatCode>
                <c:ptCount val="17"/>
                <c:pt idx="0">
                  <c:v>0.4</c:v>
                </c:pt>
                <c:pt idx="1">
                  <c:v>0</c:v>
                </c:pt>
                <c:pt idx="2">
                  <c:v>0</c:v>
                </c:pt>
                <c:pt idx="3">
                  <c:v>0</c:v>
                </c:pt>
                <c:pt idx="4">
                  <c:v>0</c:v>
                </c:pt>
                <c:pt idx="5">
                  <c:v>0</c:v>
                </c:pt>
                <c:pt idx="6">
                  <c:v>0.5</c:v>
                </c:pt>
                <c:pt idx="7">
                  <c:v>0</c:v>
                </c:pt>
                <c:pt idx="8">
                  <c:v>0.3</c:v>
                </c:pt>
                <c:pt idx="9">
                  <c:v>0</c:v>
                </c:pt>
                <c:pt idx="10">
                  <c:v>0</c:v>
                </c:pt>
                <c:pt idx="11">
                  <c:v>0</c:v>
                </c:pt>
                <c:pt idx="12">
                  <c:v>0</c:v>
                </c:pt>
                <c:pt idx="13">
                  <c:v>0</c:v>
                </c:pt>
                <c:pt idx="14">
                  <c:v>0.5</c:v>
                </c:pt>
                <c:pt idx="15">
                  <c:v>1</c:v>
                </c:pt>
                <c:pt idx="16">
                  <c:v>0</c:v>
                </c:pt>
              </c:numCache>
            </c:numRef>
          </c:val>
          <c:extLst>
            <c:ext xmlns:c16="http://schemas.microsoft.com/office/drawing/2014/chart" uri="{C3380CC4-5D6E-409C-BE32-E72D297353CC}">
              <c16:uniqueId val="{00000002-9BB9-49F4-85D6-5F3EE268CEC2}"/>
            </c:ext>
          </c:extLst>
        </c:ser>
        <c:ser>
          <c:idx val="3"/>
          <c:order val="3"/>
          <c:tx>
            <c:strRef>
              <c:f>'Q15_Tab 31-36'!$E$161</c:f>
              <c:strCache>
                <c:ptCount val="1"/>
                <c:pt idx="0">
                  <c:v>certains salariés (10 % à 29 %)</c:v>
                </c:pt>
              </c:strCache>
            </c:strRef>
          </c:tx>
          <c:spPr>
            <a:solidFill>
              <a:schemeClr val="accent4"/>
            </a:solidFill>
            <a:ln>
              <a:noFill/>
            </a:ln>
            <a:effectLst/>
          </c:spPr>
          <c:invertIfNegative val="0"/>
          <c:cat>
            <c:strRef>
              <c:f>'Q15_Tab 31-36'!$A$162:$A$178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31-36'!$E$162:$E$178</c:f>
              <c:numCache>
                <c:formatCode>0.0</c:formatCode>
                <c:ptCount val="17"/>
                <c:pt idx="0">
                  <c:v>8.7999999999999989</c:v>
                </c:pt>
                <c:pt idx="1">
                  <c:v>1.9</c:v>
                </c:pt>
                <c:pt idx="2">
                  <c:v>9.9</c:v>
                </c:pt>
                <c:pt idx="3">
                  <c:v>0</c:v>
                </c:pt>
                <c:pt idx="4">
                  <c:v>0</c:v>
                </c:pt>
                <c:pt idx="5">
                  <c:v>4.7</c:v>
                </c:pt>
                <c:pt idx="6">
                  <c:v>8.4</c:v>
                </c:pt>
                <c:pt idx="7">
                  <c:v>3</c:v>
                </c:pt>
                <c:pt idx="8">
                  <c:v>8.6</c:v>
                </c:pt>
                <c:pt idx="9">
                  <c:v>6.6000000000000005</c:v>
                </c:pt>
                <c:pt idx="10">
                  <c:v>8</c:v>
                </c:pt>
                <c:pt idx="11">
                  <c:v>8.7999999999999989</c:v>
                </c:pt>
                <c:pt idx="12">
                  <c:v>10.9</c:v>
                </c:pt>
                <c:pt idx="13">
                  <c:v>4.9000000000000004</c:v>
                </c:pt>
                <c:pt idx="14">
                  <c:v>5.7</c:v>
                </c:pt>
                <c:pt idx="15">
                  <c:v>18</c:v>
                </c:pt>
                <c:pt idx="16">
                  <c:v>0</c:v>
                </c:pt>
              </c:numCache>
            </c:numRef>
          </c:val>
          <c:extLst>
            <c:ext xmlns:c16="http://schemas.microsoft.com/office/drawing/2014/chart" uri="{C3380CC4-5D6E-409C-BE32-E72D297353CC}">
              <c16:uniqueId val="{00000003-9BB9-49F4-85D6-5F3EE268CEC2}"/>
            </c:ext>
          </c:extLst>
        </c:ser>
        <c:ser>
          <c:idx val="4"/>
          <c:order val="4"/>
          <c:tx>
            <c:strRef>
              <c:f>'Q15_Tab 31-36'!$F$161</c:f>
              <c:strCache>
                <c:ptCount val="1"/>
                <c:pt idx="0">
                  <c:v>quelques salariés (moins de 10 %)</c:v>
                </c:pt>
              </c:strCache>
            </c:strRef>
          </c:tx>
          <c:spPr>
            <a:solidFill>
              <a:schemeClr val="accent5"/>
            </a:solidFill>
            <a:ln>
              <a:noFill/>
            </a:ln>
            <a:effectLst/>
          </c:spPr>
          <c:invertIfNegative val="0"/>
          <c:cat>
            <c:strRef>
              <c:f>'Q15_Tab 31-36'!$A$162:$A$178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31-36'!$F$162:$F$178</c:f>
              <c:numCache>
                <c:formatCode>0.0</c:formatCode>
                <c:ptCount val="17"/>
                <c:pt idx="0">
                  <c:v>70.599999999999994</c:v>
                </c:pt>
                <c:pt idx="1">
                  <c:v>89.7</c:v>
                </c:pt>
                <c:pt idx="2">
                  <c:v>73.3</c:v>
                </c:pt>
                <c:pt idx="3">
                  <c:v>74.900000000000006</c:v>
                </c:pt>
                <c:pt idx="4">
                  <c:v>86.3</c:v>
                </c:pt>
                <c:pt idx="5">
                  <c:v>92.100000000000009</c:v>
                </c:pt>
                <c:pt idx="6">
                  <c:v>76.5</c:v>
                </c:pt>
                <c:pt idx="7">
                  <c:v>66.7</c:v>
                </c:pt>
                <c:pt idx="8">
                  <c:v>71.7</c:v>
                </c:pt>
                <c:pt idx="9">
                  <c:v>79.7</c:v>
                </c:pt>
                <c:pt idx="10">
                  <c:v>56.399999999999991</c:v>
                </c:pt>
                <c:pt idx="11">
                  <c:v>70.099999999999994</c:v>
                </c:pt>
                <c:pt idx="12">
                  <c:v>79.5</c:v>
                </c:pt>
                <c:pt idx="13">
                  <c:v>73.5</c:v>
                </c:pt>
                <c:pt idx="14">
                  <c:v>66.3</c:v>
                </c:pt>
                <c:pt idx="15">
                  <c:v>62.8</c:v>
                </c:pt>
                <c:pt idx="16">
                  <c:v>54.2</c:v>
                </c:pt>
              </c:numCache>
            </c:numRef>
          </c:val>
          <c:extLst>
            <c:ext xmlns:c16="http://schemas.microsoft.com/office/drawing/2014/chart" uri="{C3380CC4-5D6E-409C-BE32-E72D297353CC}">
              <c16:uniqueId val="{00000004-9BB9-49F4-85D6-5F3EE268CEC2}"/>
            </c:ext>
          </c:extLst>
        </c:ser>
        <c:ser>
          <c:idx val="5"/>
          <c:order val="5"/>
          <c:tx>
            <c:strRef>
              <c:f>'Q15_Tab 31-36'!$G$161</c:f>
              <c:strCache>
                <c:ptCount val="1"/>
                <c:pt idx="0">
                  <c:v>aucun salarié</c:v>
                </c:pt>
              </c:strCache>
            </c:strRef>
          </c:tx>
          <c:spPr>
            <a:solidFill>
              <a:schemeClr val="accent6"/>
            </a:solidFill>
            <a:ln>
              <a:noFill/>
            </a:ln>
            <a:effectLst/>
          </c:spPr>
          <c:invertIfNegative val="0"/>
          <c:cat>
            <c:strRef>
              <c:f>'Q15_Tab 31-36'!$A$162:$A$178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31-36'!$G$162:$G$178</c:f>
              <c:numCache>
                <c:formatCode>0.0</c:formatCode>
                <c:ptCount val="17"/>
                <c:pt idx="0">
                  <c:v>20.200000000000003</c:v>
                </c:pt>
                <c:pt idx="1">
                  <c:v>8.4</c:v>
                </c:pt>
                <c:pt idx="2">
                  <c:v>15.299999999999999</c:v>
                </c:pt>
                <c:pt idx="3">
                  <c:v>0</c:v>
                </c:pt>
                <c:pt idx="4">
                  <c:v>7.5</c:v>
                </c:pt>
                <c:pt idx="5">
                  <c:v>2.9000000000000004</c:v>
                </c:pt>
                <c:pt idx="6">
                  <c:v>14.299999999999999</c:v>
                </c:pt>
                <c:pt idx="7">
                  <c:v>29.9</c:v>
                </c:pt>
                <c:pt idx="8">
                  <c:v>19.400000000000002</c:v>
                </c:pt>
                <c:pt idx="9">
                  <c:v>13.600000000000001</c:v>
                </c:pt>
                <c:pt idx="10">
                  <c:v>35.699999999999996</c:v>
                </c:pt>
                <c:pt idx="11">
                  <c:v>21.099999999999998</c:v>
                </c:pt>
                <c:pt idx="12">
                  <c:v>9.6</c:v>
                </c:pt>
                <c:pt idx="13">
                  <c:v>21.5</c:v>
                </c:pt>
                <c:pt idx="14">
                  <c:v>27.500000000000004</c:v>
                </c:pt>
                <c:pt idx="15">
                  <c:v>18.2</c:v>
                </c:pt>
                <c:pt idx="16">
                  <c:v>40.300000000000004</c:v>
                </c:pt>
              </c:numCache>
            </c:numRef>
          </c:val>
          <c:extLst>
            <c:ext xmlns:c16="http://schemas.microsoft.com/office/drawing/2014/chart" uri="{C3380CC4-5D6E-409C-BE32-E72D297353CC}">
              <c16:uniqueId val="{00000005-9BB9-49F4-85D6-5F3EE268CEC2}"/>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Congés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'Q15_Tab 31-36'!$B$214</c:f>
              <c:strCache>
                <c:ptCount val="1"/>
                <c:pt idx="0">
                  <c:v>la plupart des salariés (80 % ou plus)</c:v>
                </c:pt>
              </c:strCache>
            </c:strRef>
          </c:tx>
          <c:spPr>
            <a:solidFill>
              <a:schemeClr val="accent1"/>
            </a:solidFill>
            <a:ln>
              <a:noFill/>
            </a:ln>
            <a:effectLst/>
          </c:spPr>
          <c:invertIfNegative val="0"/>
          <c:cat>
            <c:strRef>
              <c:f>'Q15_Tab 31-36'!$A$215:$A$231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31-36'!$B$215:$B$231</c:f>
              <c:numCache>
                <c:formatCode>0.0</c:formatCode>
                <c:ptCount val="17"/>
                <c:pt idx="0">
                  <c:v>0.2</c:v>
                </c:pt>
                <c:pt idx="1">
                  <c:v>0</c:v>
                </c:pt>
                <c:pt idx="2">
                  <c:v>0</c:v>
                </c:pt>
                <c:pt idx="3">
                  <c:v>0</c:v>
                </c:pt>
                <c:pt idx="4">
                  <c:v>0</c:v>
                </c:pt>
                <c:pt idx="5">
                  <c:v>0</c:v>
                </c:pt>
                <c:pt idx="6">
                  <c:v>0</c:v>
                </c:pt>
                <c:pt idx="7">
                  <c:v>0</c:v>
                </c:pt>
                <c:pt idx="8">
                  <c:v>0</c:v>
                </c:pt>
                <c:pt idx="9">
                  <c:v>0</c:v>
                </c:pt>
                <c:pt idx="10">
                  <c:v>0.5</c:v>
                </c:pt>
                <c:pt idx="11">
                  <c:v>0</c:v>
                </c:pt>
                <c:pt idx="12">
                  <c:v>0</c:v>
                </c:pt>
                <c:pt idx="13">
                  <c:v>0</c:v>
                </c:pt>
                <c:pt idx="14">
                  <c:v>0.5</c:v>
                </c:pt>
                <c:pt idx="15">
                  <c:v>0.1</c:v>
                </c:pt>
                <c:pt idx="16">
                  <c:v>0</c:v>
                </c:pt>
              </c:numCache>
            </c:numRef>
          </c:val>
          <c:extLst>
            <c:ext xmlns:c16="http://schemas.microsoft.com/office/drawing/2014/chart" uri="{C3380CC4-5D6E-409C-BE32-E72D297353CC}">
              <c16:uniqueId val="{00000000-3CF8-4B33-A77D-92837C03D409}"/>
            </c:ext>
          </c:extLst>
        </c:ser>
        <c:ser>
          <c:idx val="1"/>
          <c:order val="1"/>
          <c:tx>
            <c:strRef>
              <c:f>'Q15_Tab 31-36'!$C$214</c:f>
              <c:strCache>
                <c:ptCount val="1"/>
                <c:pt idx="0">
                  <c:v>une majorité des salariés (50 % à 79 %)</c:v>
                </c:pt>
              </c:strCache>
            </c:strRef>
          </c:tx>
          <c:spPr>
            <a:solidFill>
              <a:schemeClr val="accent2"/>
            </a:solidFill>
            <a:ln>
              <a:noFill/>
            </a:ln>
            <a:effectLst/>
          </c:spPr>
          <c:invertIfNegative val="0"/>
          <c:cat>
            <c:strRef>
              <c:f>'Q15_Tab 31-36'!$A$215:$A$231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31-36'!$C$215:$C$231</c:f>
              <c:numCache>
                <c:formatCode>0.0</c:formatCode>
                <c:ptCount val="17"/>
                <c:pt idx="0">
                  <c:v>0.2</c:v>
                </c:pt>
                <c:pt idx="1">
                  <c:v>0</c:v>
                </c:pt>
                <c:pt idx="2">
                  <c:v>0</c:v>
                </c:pt>
                <c:pt idx="3">
                  <c:v>0</c:v>
                </c:pt>
                <c:pt idx="4">
                  <c:v>0</c:v>
                </c:pt>
                <c:pt idx="5">
                  <c:v>0</c:v>
                </c:pt>
                <c:pt idx="6">
                  <c:v>0</c:v>
                </c:pt>
                <c:pt idx="7">
                  <c:v>0</c:v>
                </c:pt>
                <c:pt idx="8">
                  <c:v>0</c:v>
                </c:pt>
                <c:pt idx="9">
                  <c:v>0</c:v>
                </c:pt>
                <c:pt idx="10">
                  <c:v>0.4</c:v>
                </c:pt>
                <c:pt idx="11">
                  <c:v>0.3</c:v>
                </c:pt>
                <c:pt idx="12">
                  <c:v>0</c:v>
                </c:pt>
                <c:pt idx="13">
                  <c:v>0</c:v>
                </c:pt>
                <c:pt idx="14">
                  <c:v>0.5</c:v>
                </c:pt>
                <c:pt idx="15">
                  <c:v>0.3</c:v>
                </c:pt>
                <c:pt idx="16">
                  <c:v>0.3</c:v>
                </c:pt>
              </c:numCache>
            </c:numRef>
          </c:val>
          <c:extLst>
            <c:ext xmlns:c16="http://schemas.microsoft.com/office/drawing/2014/chart" uri="{C3380CC4-5D6E-409C-BE32-E72D297353CC}">
              <c16:uniqueId val="{00000001-3CF8-4B33-A77D-92837C03D409}"/>
            </c:ext>
          </c:extLst>
        </c:ser>
        <c:ser>
          <c:idx val="2"/>
          <c:order val="2"/>
          <c:tx>
            <c:strRef>
              <c:f>'Q15_Tab 31-36'!$D$214</c:f>
              <c:strCache>
                <c:ptCount val="1"/>
                <c:pt idx="0">
                  <c:v>un nombre conséquent de salariés (30 % à 49 %)</c:v>
                </c:pt>
              </c:strCache>
            </c:strRef>
          </c:tx>
          <c:spPr>
            <a:solidFill>
              <a:schemeClr val="accent3"/>
            </a:solidFill>
            <a:ln>
              <a:noFill/>
            </a:ln>
            <a:effectLst/>
          </c:spPr>
          <c:invertIfNegative val="0"/>
          <c:cat>
            <c:strRef>
              <c:f>'Q15_Tab 31-36'!$A$215:$A$231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31-36'!$D$215:$D$231</c:f>
              <c:numCache>
                <c:formatCode>0.0</c:formatCode>
                <c:ptCount val="17"/>
                <c:pt idx="0">
                  <c:v>1.4000000000000001</c:v>
                </c:pt>
                <c:pt idx="1">
                  <c:v>0.4</c:v>
                </c:pt>
                <c:pt idx="2">
                  <c:v>1.6</c:v>
                </c:pt>
                <c:pt idx="3">
                  <c:v>0</c:v>
                </c:pt>
                <c:pt idx="4">
                  <c:v>0</c:v>
                </c:pt>
                <c:pt idx="5">
                  <c:v>0</c:v>
                </c:pt>
                <c:pt idx="6">
                  <c:v>0.89999999999999991</c:v>
                </c:pt>
                <c:pt idx="7">
                  <c:v>0</c:v>
                </c:pt>
                <c:pt idx="8">
                  <c:v>1.0999999999999999</c:v>
                </c:pt>
                <c:pt idx="9">
                  <c:v>0.4</c:v>
                </c:pt>
                <c:pt idx="10">
                  <c:v>0.70000000000000007</c:v>
                </c:pt>
                <c:pt idx="11">
                  <c:v>12.5</c:v>
                </c:pt>
                <c:pt idx="12">
                  <c:v>0.1</c:v>
                </c:pt>
                <c:pt idx="13">
                  <c:v>0</c:v>
                </c:pt>
                <c:pt idx="14">
                  <c:v>1.0999999999999999</c:v>
                </c:pt>
                <c:pt idx="15">
                  <c:v>1.0999999999999999</c:v>
                </c:pt>
                <c:pt idx="16">
                  <c:v>0.8</c:v>
                </c:pt>
              </c:numCache>
            </c:numRef>
          </c:val>
          <c:extLst>
            <c:ext xmlns:c16="http://schemas.microsoft.com/office/drawing/2014/chart" uri="{C3380CC4-5D6E-409C-BE32-E72D297353CC}">
              <c16:uniqueId val="{00000002-3CF8-4B33-A77D-92837C03D409}"/>
            </c:ext>
          </c:extLst>
        </c:ser>
        <c:ser>
          <c:idx val="3"/>
          <c:order val="3"/>
          <c:tx>
            <c:strRef>
              <c:f>'Q15_Tab 31-36'!$E$214</c:f>
              <c:strCache>
                <c:ptCount val="1"/>
                <c:pt idx="0">
                  <c:v>certains salariés (10 % à 29 %)</c:v>
                </c:pt>
              </c:strCache>
            </c:strRef>
          </c:tx>
          <c:spPr>
            <a:solidFill>
              <a:schemeClr val="accent4"/>
            </a:solidFill>
            <a:ln>
              <a:noFill/>
            </a:ln>
            <a:effectLst/>
          </c:spPr>
          <c:invertIfNegative val="0"/>
          <c:cat>
            <c:strRef>
              <c:f>'Q15_Tab 31-36'!$A$215:$A$231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31-36'!$E$215:$E$231</c:f>
              <c:numCache>
                <c:formatCode>0.0</c:formatCode>
                <c:ptCount val="17"/>
                <c:pt idx="0">
                  <c:v>12.8</c:v>
                </c:pt>
                <c:pt idx="1">
                  <c:v>5.3</c:v>
                </c:pt>
                <c:pt idx="2">
                  <c:v>12.6</c:v>
                </c:pt>
                <c:pt idx="3">
                  <c:v>0</c:v>
                </c:pt>
                <c:pt idx="4">
                  <c:v>9.1999999999999993</c:v>
                </c:pt>
                <c:pt idx="5">
                  <c:v>0</c:v>
                </c:pt>
                <c:pt idx="6">
                  <c:v>10.9</c:v>
                </c:pt>
                <c:pt idx="7">
                  <c:v>1.9</c:v>
                </c:pt>
                <c:pt idx="8">
                  <c:v>13.100000000000001</c:v>
                </c:pt>
                <c:pt idx="9">
                  <c:v>16.2</c:v>
                </c:pt>
                <c:pt idx="10">
                  <c:v>25.5</c:v>
                </c:pt>
                <c:pt idx="11">
                  <c:v>14.499999999999998</c:v>
                </c:pt>
                <c:pt idx="12">
                  <c:v>15.2</c:v>
                </c:pt>
                <c:pt idx="13">
                  <c:v>0</c:v>
                </c:pt>
                <c:pt idx="14">
                  <c:v>14.799999999999999</c:v>
                </c:pt>
                <c:pt idx="15">
                  <c:v>12.5</c:v>
                </c:pt>
                <c:pt idx="16">
                  <c:v>7.0000000000000009</c:v>
                </c:pt>
              </c:numCache>
            </c:numRef>
          </c:val>
          <c:extLst>
            <c:ext xmlns:c16="http://schemas.microsoft.com/office/drawing/2014/chart" uri="{C3380CC4-5D6E-409C-BE32-E72D297353CC}">
              <c16:uniqueId val="{00000003-3CF8-4B33-A77D-92837C03D409}"/>
            </c:ext>
          </c:extLst>
        </c:ser>
        <c:ser>
          <c:idx val="4"/>
          <c:order val="4"/>
          <c:tx>
            <c:strRef>
              <c:f>'Q15_Tab 31-36'!$F$214</c:f>
              <c:strCache>
                <c:ptCount val="1"/>
                <c:pt idx="0">
                  <c:v>quelques salariés (moins de 10 %)</c:v>
                </c:pt>
              </c:strCache>
            </c:strRef>
          </c:tx>
          <c:spPr>
            <a:solidFill>
              <a:schemeClr val="accent5"/>
            </a:solidFill>
            <a:ln>
              <a:noFill/>
            </a:ln>
            <a:effectLst/>
          </c:spPr>
          <c:invertIfNegative val="0"/>
          <c:cat>
            <c:strRef>
              <c:f>'Q15_Tab 31-36'!$A$215:$A$231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31-36'!$F$215:$F$231</c:f>
              <c:numCache>
                <c:formatCode>0.0</c:formatCode>
                <c:ptCount val="17"/>
                <c:pt idx="0">
                  <c:v>61.6</c:v>
                </c:pt>
                <c:pt idx="1">
                  <c:v>83.6</c:v>
                </c:pt>
                <c:pt idx="2">
                  <c:v>71</c:v>
                </c:pt>
                <c:pt idx="3">
                  <c:v>85.5</c:v>
                </c:pt>
                <c:pt idx="4">
                  <c:v>72.899999999999991</c:v>
                </c:pt>
                <c:pt idx="5">
                  <c:v>83.899999999999991</c:v>
                </c:pt>
                <c:pt idx="6">
                  <c:v>60.099999999999994</c:v>
                </c:pt>
                <c:pt idx="7">
                  <c:v>44.1</c:v>
                </c:pt>
                <c:pt idx="8">
                  <c:v>64.400000000000006</c:v>
                </c:pt>
                <c:pt idx="9">
                  <c:v>66.900000000000006</c:v>
                </c:pt>
                <c:pt idx="10">
                  <c:v>36.700000000000003</c:v>
                </c:pt>
                <c:pt idx="11">
                  <c:v>63.800000000000004</c:v>
                </c:pt>
                <c:pt idx="12">
                  <c:v>75.3</c:v>
                </c:pt>
                <c:pt idx="13">
                  <c:v>60</c:v>
                </c:pt>
                <c:pt idx="14">
                  <c:v>61.6</c:v>
                </c:pt>
                <c:pt idx="15">
                  <c:v>58.3</c:v>
                </c:pt>
                <c:pt idx="16">
                  <c:v>49.4</c:v>
                </c:pt>
              </c:numCache>
            </c:numRef>
          </c:val>
          <c:extLst>
            <c:ext xmlns:c16="http://schemas.microsoft.com/office/drawing/2014/chart" uri="{C3380CC4-5D6E-409C-BE32-E72D297353CC}">
              <c16:uniqueId val="{00000004-3CF8-4B33-A77D-92837C03D409}"/>
            </c:ext>
          </c:extLst>
        </c:ser>
        <c:ser>
          <c:idx val="5"/>
          <c:order val="5"/>
          <c:tx>
            <c:strRef>
              <c:f>'Q15_Tab 31-36'!$G$214</c:f>
              <c:strCache>
                <c:ptCount val="1"/>
                <c:pt idx="0">
                  <c:v>aucun salarié</c:v>
                </c:pt>
              </c:strCache>
            </c:strRef>
          </c:tx>
          <c:spPr>
            <a:solidFill>
              <a:schemeClr val="accent6"/>
            </a:solidFill>
            <a:ln>
              <a:noFill/>
            </a:ln>
            <a:effectLst/>
          </c:spPr>
          <c:invertIfNegative val="0"/>
          <c:cat>
            <c:strRef>
              <c:f>'Q15_Tab 31-36'!$A$215:$A$231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31-36'!$G$215:$G$231</c:f>
              <c:numCache>
                <c:formatCode>0.0</c:formatCode>
                <c:ptCount val="17"/>
                <c:pt idx="0">
                  <c:v>23.799999999999997</c:v>
                </c:pt>
                <c:pt idx="1">
                  <c:v>10.299999999999999</c:v>
                </c:pt>
                <c:pt idx="2">
                  <c:v>14.499999999999998</c:v>
                </c:pt>
                <c:pt idx="3">
                  <c:v>0</c:v>
                </c:pt>
                <c:pt idx="4">
                  <c:v>17.5</c:v>
                </c:pt>
                <c:pt idx="5">
                  <c:v>7.1999999999999993</c:v>
                </c:pt>
                <c:pt idx="6">
                  <c:v>28.000000000000004</c:v>
                </c:pt>
                <c:pt idx="7">
                  <c:v>53.400000000000006</c:v>
                </c:pt>
                <c:pt idx="8">
                  <c:v>21.3</c:v>
                </c:pt>
                <c:pt idx="9">
                  <c:v>16.3</c:v>
                </c:pt>
                <c:pt idx="10">
                  <c:v>36.199999999999996</c:v>
                </c:pt>
                <c:pt idx="11">
                  <c:v>8.9</c:v>
                </c:pt>
                <c:pt idx="12">
                  <c:v>9.1999999999999993</c:v>
                </c:pt>
                <c:pt idx="13">
                  <c:v>21.8</c:v>
                </c:pt>
                <c:pt idx="14">
                  <c:v>21.5</c:v>
                </c:pt>
                <c:pt idx="15">
                  <c:v>27.700000000000003</c:v>
                </c:pt>
                <c:pt idx="16">
                  <c:v>42.1</c:v>
                </c:pt>
              </c:numCache>
            </c:numRef>
          </c:val>
          <c:extLst>
            <c:ext xmlns:c16="http://schemas.microsoft.com/office/drawing/2014/chart" uri="{C3380CC4-5D6E-409C-BE32-E72D297353CC}">
              <c16:uniqueId val="{00000005-3CF8-4B33-A77D-92837C03D409}"/>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Exercice</a:t>
            </a:r>
            <a:r>
              <a:rPr lang="fr-FR" baseline="0"/>
              <a:t> du droit de retrait</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'Q15_Tab 31-36'!$B$268</c:f>
              <c:strCache>
                <c:ptCount val="1"/>
                <c:pt idx="0">
                  <c:v>la plupart des salariés (80 % ou plus)</c:v>
                </c:pt>
              </c:strCache>
            </c:strRef>
          </c:tx>
          <c:spPr>
            <a:solidFill>
              <a:schemeClr val="accent1"/>
            </a:solidFill>
            <a:ln>
              <a:noFill/>
            </a:ln>
            <a:effectLst/>
          </c:spPr>
          <c:invertIfNegative val="0"/>
          <c:cat>
            <c:strRef>
              <c:f>'Q15_Tab 31-36'!$A$269:$A$285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31-36'!$B$269:$B$285</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4DBA-4914-ADE4-C08F52BD0B6E}"/>
            </c:ext>
          </c:extLst>
        </c:ser>
        <c:ser>
          <c:idx val="1"/>
          <c:order val="1"/>
          <c:tx>
            <c:strRef>
              <c:f>'Q15_Tab 31-36'!$C$268</c:f>
              <c:strCache>
                <c:ptCount val="1"/>
                <c:pt idx="0">
                  <c:v>une majorité des salariés (50 % à 79 %)</c:v>
                </c:pt>
              </c:strCache>
            </c:strRef>
          </c:tx>
          <c:spPr>
            <a:solidFill>
              <a:schemeClr val="accent2"/>
            </a:solidFill>
            <a:ln>
              <a:noFill/>
            </a:ln>
            <a:effectLst/>
          </c:spPr>
          <c:invertIfNegative val="0"/>
          <c:cat>
            <c:strRef>
              <c:f>'Q15_Tab 31-36'!$A$269:$A$285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31-36'!$C$269:$C$285</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4DBA-4914-ADE4-C08F52BD0B6E}"/>
            </c:ext>
          </c:extLst>
        </c:ser>
        <c:ser>
          <c:idx val="2"/>
          <c:order val="2"/>
          <c:tx>
            <c:strRef>
              <c:f>'Q15_Tab 31-36'!$D$268</c:f>
              <c:strCache>
                <c:ptCount val="1"/>
                <c:pt idx="0">
                  <c:v>un nombre conséquent de salariés (30 % à 49 %)</c:v>
                </c:pt>
              </c:strCache>
            </c:strRef>
          </c:tx>
          <c:spPr>
            <a:solidFill>
              <a:schemeClr val="accent3"/>
            </a:solidFill>
            <a:ln>
              <a:noFill/>
            </a:ln>
            <a:effectLst/>
          </c:spPr>
          <c:invertIfNegative val="0"/>
          <c:cat>
            <c:strRef>
              <c:f>'Q15_Tab 31-36'!$A$269:$A$285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31-36'!$D$269:$D$285</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2-4DBA-4914-ADE4-C08F52BD0B6E}"/>
            </c:ext>
          </c:extLst>
        </c:ser>
        <c:ser>
          <c:idx val="3"/>
          <c:order val="3"/>
          <c:tx>
            <c:strRef>
              <c:f>'Q15_Tab 31-36'!$E$268</c:f>
              <c:strCache>
                <c:ptCount val="1"/>
                <c:pt idx="0">
                  <c:v>certains salariés (10 % à 29 %)</c:v>
                </c:pt>
              </c:strCache>
            </c:strRef>
          </c:tx>
          <c:spPr>
            <a:solidFill>
              <a:schemeClr val="accent4"/>
            </a:solidFill>
            <a:ln>
              <a:noFill/>
            </a:ln>
            <a:effectLst/>
          </c:spPr>
          <c:invertIfNegative val="0"/>
          <c:cat>
            <c:strRef>
              <c:f>'Q15_Tab 31-36'!$A$269:$A$285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31-36'!$E$269:$E$285</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0.3</c:v>
                </c:pt>
                <c:pt idx="15">
                  <c:v>0</c:v>
                </c:pt>
                <c:pt idx="16">
                  <c:v>0</c:v>
                </c:pt>
              </c:numCache>
            </c:numRef>
          </c:val>
          <c:extLst>
            <c:ext xmlns:c16="http://schemas.microsoft.com/office/drawing/2014/chart" uri="{C3380CC4-5D6E-409C-BE32-E72D297353CC}">
              <c16:uniqueId val="{00000003-4DBA-4914-ADE4-C08F52BD0B6E}"/>
            </c:ext>
          </c:extLst>
        </c:ser>
        <c:ser>
          <c:idx val="4"/>
          <c:order val="4"/>
          <c:tx>
            <c:strRef>
              <c:f>'Q15_Tab 31-36'!$F$268</c:f>
              <c:strCache>
                <c:ptCount val="1"/>
                <c:pt idx="0">
                  <c:v>quelques salariés (moins de 10 %)</c:v>
                </c:pt>
              </c:strCache>
            </c:strRef>
          </c:tx>
          <c:spPr>
            <a:solidFill>
              <a:schemeClr val="accent5"/>
            </a:solidFill>
            <a:ln>
              <a:noFill/>
            </a:ln>
            <a:effectLst/>
          </c:spPr>
          <c:invertIfNegative val="0"/>
          <c:cat>
            <c:strRef>
              <c:f>'Q15_Tab 31-36'!$A$269:$A$285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31-36'!$F$269:$F$285</c:f>
              <c:numCache>
                <c:formatCode>0.0</c:formatCode>
                <c:ptCount val="17"/>
                <c:pt idx="0">
                  <c:v>2.5</c:v>
                </c:pt>
                <c:pt idx="1">
                  <c:v>0</c:v>
                </c:pt>
                <c:pt idx="2">
                  <c:v>0</c:v>
                </c:pt>
                <c:pt idx="3">
                  <c:v>0</c:v>
                </c:pt>
                <c:pt idx="4">
                  <c:v>0</c:v>
                </c:pt>
                <c:pt idx="5">
                  <c:v>1.5</c:v>
                </c:pt>
                <c:pt idx="6">
                  <c:v>1.7000000000000002</c:v>
                </c:pt>
                <c:pt idx="7">
                  <c:v>0</c:v>
                </c:pt>
                <c:pt idx="8">
                  <c:v>2.8000000000000003</c:v>
                </c:pt>
                <c:pt idx="9">
                  <c:v>7.7</c:v>
                </c:pt>
                <c:pt idx="10">
                  <c:v>0</c:v>
                </c:pt>
                <c:pt idx="11">
                  <c:v>11.200000000000001</c:v>
                </c:pt>
                <c:pt idx="12">
                  <c:v>0.5</c:v>
                </c:pt>
                <c:pt idx="13">
                  <c:v>0.89999999999999991</c:v>
                </c:pt>
                <c:pt idx="14">
                  <c:v>1.6</c:v>
                </c:pt>
                <c:pt idx="15">
                  <c:v>0</c:v>
                </c:pt>
                <c:pt idx="16">
                  <c:v>0</c:v>
                </c:pt>
              </c:numCache>
            </c:numRef>
          </c:val>
          <c:extLst>
            <c:ext xmlns:c16="http://schemas.microsoft.com/office/drawing/2014/chart" uri="{C3380CC4-5D6E-409C-BE32-E72D297353CC}">
              <c16:uniqueId val="{00000004-4DBA-4914-ADE4-C08F52BD0B6E}"/>
            </c:ext>
          </c:extLst>
        </c:ser>
        <c:ser>
          <c:idx val="5"/>
          <c:order val="5"/>
          <c:tx>
            <c:strRef>
              <c:f>'Q15_Tab 31-36'!$G$268</c:f>
              <c:strCache>
                <c:ptCount val="1"/>
                <c:pt idx="0">
                  <c:v>aucun salarié</c:v>
                </c:pt>
              </c:strCache>
            </c:strRef>
          </c:tx>
          <c:spPr>
            <a:solidFill>
              <a:schemeClr val="accent6"/>
            </a:solidFill>
            <a:ln>
              <a:noFill/>
            </a:ln>
            <a:effectLst/>
          </c:spPr>
          <c:invertIfNegative val="0"/>
          <c:cat>
            <c:strRef>
              <c:f>'Q15_Tab 31-36'!$A$269:$A$285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31-36'!$G$269:$G$285</c:f>
              <c:numCache>
                <c:formatCode>0.0</c:formatCode>
                <c:ptCount val="17"/>
                <c:pt idx="0">
                  <c:v>97.3</c:v>
                </c:pt>
                <c:pt idx="1">
                  <c:v>99.6</c:v>
                </c:pt>
                <c:pt idx="2">
                  <c:v>99.4</c:v>
                </c:pt>
                <c:pt idx="3">
                  <c:v>100</c:v>
                </c:pt>
                <c:pt idx="4">
                  <c:v>97.3</c:v>
                </c:pt>
                <c:pt idx="5">
                  <c:v>98.5</c:v>
                </c:pt>
                <c:pt idx="6">
                  <c:v>98.1</c:v>
                </c:pt>
                <c:pt idx="7">
                  <c:v>99</c:v>
                </c:pt>
                <c:pt idx="8">
                  <c:v>97.1</c:v>
                </c:pt>
                <c:pt idx="9">
                  <c:v>92.300000000000011</c:v>
                </c:pt>
                <c:pt idx="10">
                  <c:v>94.3</c:v>
                </c:pt>
                <c:pt idx="11">
                  <c:v>88.8</c:v>
                </c:pt>
                <c:pt idx="12">
                  <c:v>99.5</c:v>
                </c:pt>
                <c:pt idx="13">
                  <c:v>99.1</c:v>
                </c:pt>
                <c:pt idx="14">
                  <c:v>98.1</c:v>
                </c:pt>
                <c:pt idx="15">
                  <c:v>99.2</c:v>
                </c:pt>
                <c:pt idx="16">
                  <c:v>99.5</c:v>
                </c:pt>
              </c:numCache>
            </c:numRef>
          </c:val>
          <c:extLst>
            <c:ext xmlns:c16="http://schemas.microsoft.com/office/drawing/2014/chart" uri="{C3380CC4-5D6E-409C-BE32-E72D297353CC}">
              <c16:uniqueId val="{00000005-4DBA-4914-ADE4-C08F52BD0B6E}"/>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a:t>
            </a:r>
            <a:r>
              <a:rPr lang="fr-FR" baseline="0"/>
              <a:t> selon différentes situations,</a:t>
            </a:r>
            <a:r>
              <a:rPr lang="fr-FR"/>
              <a:t> par taille d'entreprise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'Q15_Tab 37'!$A$5</c:f>
              <c:strCache>
                <c:ptCount val="1"/>
                <c:pt idx="0">
                  <c:v>Travail sur site ou sur chantiers</c:v>
                </c:pt>
              </c:strCache>
            </c:strRef>
          </c:tx>
          <c:spPr>
            <a:solidFill>
              <a:schemeClr val="accent1"/>
            </a:solidFill>
            <a:ln>
              <a:noFill/>
            </a:ln>
            <a:effectLst/>
          </c:spPr>
          <c:invertIfNegative val="0"/>
          <c:cat>
            <c:strRef>
              <c:f>'Q15_Tab 37'!$B$4:$H$4</c:f>
              <c:strCache>
                <c:ptCount val="7"/>
                <c:pt idx="0">
                  <c:v>Ensemble</c:v>
                </c:pt>
                <c:pt idx="1">
                  <c:v>10 - 19</c:v>
                </c:pt>
                <c:pt idx="2">
                  <c:v>20 - 49</c:v>
                </c:pt>
                <c:pt idx="3">
                  <c:v>50 - 99</c:v>
                </c:pt>
                <c:pt idx="4">
                  <c:v>100 - 249</c:v>
                </c:pt>
                <c:pt idx="5">
                  <c:v>250 - 499</c:v>
                </c:pt>
                <c:pt idx="6">
                  <c:v>500 et +</c:v>
                </c:pt>
              </c:strCache>
            </c:strRef>
          </c:cat>
          <c:val>
            <c:numRef>
              <c:f>'Q15_Tab 37'!$B$5:$H$5</c:f>
              <c:numCache>
                <c:formatCode>0.0</c:formatCode>
                <c:ptCount val="7"/>
                <c:pt idx="0">
                  <c:v>63</c:v>
                </c:pt>
                <c:pt idx="1">
                  <c:v>74.3</c:v>
                </c:pt>
                <c:pt idx="2">
                  <c:v>71.099999999999994</c:v>
                </c:pt>
                <c:pt idx="3">
                  <c:v>68.2</c:v>
                </c:pt>
                <c:pt idx="4">
                  <c:v>64.2</c:v>
                </c:pt>
                <c:pt idx="5">
                  <c:v>59.9</c:v>
                </c:pt>
                <c:pt idx="6">
                  <c:v>55.600000000000009</c:v>
                </c:pt>
              </c:numCache>
            </c:numRef>
          </c:val>
          <c:extLst>
            <c:ext xmlns:c16="http://schemas.microsoft.com/office/drawing/2014/chart" uri="{C3380CC4-5D6E-409C-BE32-E72D297353CC}">
              <c16:uniqueId val="{00000000-1BD5-44B5-8E3E-F808813A3FDD}"/>
            </c:ext>
          </c:extLst>
        </c:ser>
        <c:ser>
          <c:idx val="1"/>
          <c:order val="1"/>
          <c:tx>
            <c:strRef>
              <c:f>'Q15_Tab 37'!$A$6</c:f>
              <c:strCache>
                <c:ptCount val="1"/>
                <c:pt idx="0">
                  <c:v>Télétravail ou travail à distance</c:v>
                </c:pt>
              </c:strCache>
            </c:strRef>
          </c:tx>
          <c:spPr>
            <a:solidFill>
              <a:schemeClr val="accent2"/>
            </a:solidFill>
            <a:ln>
              <a:noFill/>
            </a:ln>
            <a:effectLst/>
          </c:spPr>
          <c:invertIfNegative val="0"/>
          <c:cat>
            <c:strRef>
              <c:f>'Q15_Tab 37'!$B$4:$H$4</c:f>
              <c:strCache>
                <c:ptCount val="7"/>
                <c:pt idx="0">
                  <c:v>Ensemble</c:v>
                </c:pt>
                <c:pt idx="1">
                  <c:v>10 - 19</c:v>
                </c:pt>
                <c:pt idx="2">
                  <c:v>20 - 49</c:v>
                </c:pt>
                <c:pt idx="3">
                  <c:v>50 - 99</c:v>
                </c:pt>
                <c:pt idx="4">
                  <c:v>100 - 249</c:v>
                </c:pt>
                <c:pt idx="5">
                  <c:v>250 - 499</c:v>
                </c:pt>
                <c:pt idx="6">
                  <c:v>500 et +</c:v>
                </c:pt>
              </c:strCache>
            </c:strRef>
          </c:cat>
          <c:val>
            <c:numRef>
              <c:f>'Q15_Tab 37'!$B$6:$H$6</c:f>
              <c:numCache>
                <c:formatCode>0.0</c:formatCode>
                <c:ptCount val="7"/>
                <c:pt idx="0">
                  <c:v>16.600000000000001</c:v>
                </c:pt>
                <c:pt idx="1">
                  <c:v>9.1</c:v>
                </c:pt>
                <c:pt idx="2">
                  <c:v>10.100000000000001</c:v>
                </c:pt>
                <c:pt idx="3">
                  <c:v>12.6</c:v>
                </c:pt>
                <c:pt idx="4">
                  <c:v>14.899999999999999</c:v>
                </c:pt>
                <c:pt idx="5">
                  <c:v>18.2</c:v>
                </c:pt>
                <c:pt idx="6">
                  <c:v>22.400000000000002</c:v>
                </c:pt>
              </c:numCache>
            </c:numRef>
          </c:val>
          <c:extLst>
            <c:ext xmlns:c16="http://schemas.microsoft.com/office/drawing/2014/chart" uri="{C3380CC4-5D6E-409C-BE32-E72D297353CC}">
              <c16:uniqueId val="{00000001-1BD5-44B5-8E3E-F808813A3FDD}"/>
            </c:ext>
          </c:extLst>
        </c:ser>
        <c:ser>
          <c:idx val="2"/>
          <c:order val="2"/>
          <c:tx>
            <c:strRef>
              <c:f>'Q15_Tab 37'!$A$7</c:f>
              <c:strCache>
                <c:ptCount val="1"/>
                <c:pt idx="0">
                  <c:v>Chômage partiel complet</c:v>
                </c:pt>
              </c:strCache>
            </c:strRef>
          </c:tx>
          <c:spPr>
            <a:solidFill>
              <a:schemeClr val="accent3"/>
            </a:solidFill>
            <a:ln>
              <a:noFill/>
            </a:ln>
            <a:effectLst/>
          </c:spPr>
          <c:invertIfNegative val="0"/>
          <c:cat>
            <c:strRef>
              <c:f>'Q15_Tab 37'!$B$4:$H$4</c:f>
              <c:strCache>
                <c:ptCount val="7"/>
                <c:pt idx="0">
                  <c:v>Ensemble</c:v>
                </c:pt>
                <c:pt idx="1">
                  <c:v>10 - 19</c:v>
                </c:pt>
                <c:pt idx="2">
                  <c:v>20 - 49</c:v>
                </c:pt>
                <c:pt idx="3">
                  <c:v>50 - 99</c:v>
                </c:pt>
                <c:pt idx="4">
                  <c:v>100 - 249</c:v>
                </c:pt>
                <c:pt idx="5">
                  <c:v>250 - 499</c:v>
                </c:pt>
                <c:pt idx="6">
                  <c:v>500 et +</c:v>
                </c:pt>
              </c:strCache>
            </c:strRef>
          </c:cat>
          <c:val>
            <c:numRef>
              <c:f>'Q15_Tab 37'!$B$7:$H$7</c:f>
              <c:numCache>
                <c:formatCode>0.0</c:formatCode>
                <c:ptCount val="7"/>
                <c:pt idx="0">
                  <c:v>6.9</c:v>
                </c:pt>
                <c:pt idx="1">
                  <c:v>8.1</c:v>
                </c:pt>
                <c:pt idx="2">
                  <c:v>7.3</c:v>
                </c:pt>
                <c:pt idx="3">
                  <c:v>6.1</c:v>
                </c:pt>
                <c:pt idx="4">
                  <c:v>6.7</c:v>
                </c:pt>
                <c:pt idx="5">
                  <c:v>7.3999999999999995</c:v>
                </c:pt>
                <c:pt idx="6">
                  <c:v>6.6000000000000005</c:v>
                </c:pt>
              </c:numCache>
            </c:numRef>
          </c:val>
          <c:extLst>
            <c:ext xmlns:c16="http://schemas.microsoft.com/office/drawing/2014/chart" uri="{C3380CC4-5D6E-409C-BE32-E72D297353CC}">
              <c16:uniqueId val="{00000002-1BD5-44B5-8E3E-F808813A3FDD}"/>
            </c:ext>
          </c:extLst>
        </c:ser>
        <c:ser>
          <c:idx val="3"/>
          <c:order val="3"/>
          <c:tx>
            <c:strRef>
              <c:f>'Q15_Tab 37'!$A$8</c:f>
              <c:strCache>
                <c:ptCount val="1"/>
                <c:pt idx="0">
                  <c:v>Arrêt maladie</c:v>
                </c:pt>
              </c:strCache>
            </c:strRef>
          </c:tx>
          <c:spPr>
            <a:solidFill>
              <a:schemeClr val="accent4"/>
            </a:solidFill>
            <a:ln>
              <a:noFill/>
            </a:ln>
            <a:effectLst/>
          </c:spPr>
          <c:invertIfNegative val="0"/>
          <c:cat>
            <c:strRef>
              <c:f>'Q15_Tab 37'!$B$4:$H$4</c:f>
              <c:strCache>
                <c:ptCount val="7"/>
                <c:pt idx="0">
                  <c:v>Ensemble</c:v>
                </c:pt>
                <c:pt idx="1">
                  <c:v>10 - 19</c:v>
                </c:pt>
                <c:pt idx="2">
                  <c:v>20 - 49</c:v>
                </c:pt>
                <c:pt idx="3">
                  <c:v>50 - 99</c:v>
                </c:pt>
                <c:pt idx="4">
                  <c:v>100 - 249</c:v>
                </c:pt>
                <c:pt idx="5">
                  <c:v>250 - 499</c:v>
                </c:pt>
                <c:pt idx="6">
                  <c:v>500 et +</c:v>
                </c:pt>
              </c:strCache>
            </c:strRef>
          </c:cat>
          <c:val>
            <c:numRef>
              <c:f>'Q15_Tab 37'!$B$8:$H$8</c:f>
              <c:numCache>
                <c:formatCode>0.0</c:formatCode>
                <c:ptCount val="7"/>
                <c:pt idx="0">
                  <c:v>6.2</c:v>
                </c:pt>
                <c:pt idx="1">
                  <c:v>3.5999999999999996</c:v>
                </c:pt>
                <c:pt idx="2">
                  <c:v>5.3</c:v>
                </c:pt>
                <c:pt idx="3">
                  <c:v>6.2</c:v>
                </c:pt>
                <c:pt idx="4">
                  <c:v>6.9</c:v>
                </c:pt>
                <c:pt idx="5">
                  <c:v>6.8000000000000007</c:v>
                </c:pt>
                <c:pt idx="6">
                  <c:v>7.0000000000000009</c:v>
                </c:pt>
              </c:numCache>
            </c:numRef>
          </c:val>
          <c:extLst>
            <c:ext xmlns:c16="http://schemas.microsoft.com/office/drawing/2014/chart" uri="{C3380CC4-5D6E-409C-BE32-E72D297353CC}">
              <c16:uniqueId val="{00000003-1BD5-44B5-8E3E-F808813A3FDD}"/>
            </c:ext>
          </c:extLst>
        </c:ser>
        <c:ser>
          <c:idx val="4"/>
          <c:order val="4"/>
          <c:tx>
            <c:strRef>
              <c:f>'Q15_Tab 37'!$A$9</c:f>
              <c:strCache>
                <c:ptCount val="1"/>
                <c:pt idx="0">
                  <c:v>Congés</c:v>
                </c:pt>
              </c:strCache>
            </c:strRef>
          </c:tx>
          <c:spPr>
            <a:solidFill>
              <a:schemeClr val="accent5"/>
            </a:solidFill>
            <a:ln>
              <a:noFill/>
            </a:ln>
            <a:effectLst/>
          </c:spPr>
          <c:invertIfNegative val="0"/>
          <c:cat>
            <c:strRef>
              <c:f>'Q15_Tab 37'!$B$4:$H$4</c:f>
              <c:strCache>
                <c:ptCount val="7"/>
                <c:pt idx="0">
                  <c:v>Ensemble</c:v>
                </c:pt>
                <c:pt idx="1">
                  <c:v>10 - 19</c:v>
                </c:pt>
                <c:pt idx="2">
                  <c:v>20 - 49</c:v>
                </c:pt>
                <c:pt idx="3">
                  <c:v>50 - 99</c:v>
                </c:pt>
                <c:pt idx="4">
                  <c:v>100 - 249</c:v>
                </c:pt>
                <c:pt idx="5">
                  <c:v>250 - 499</c:v>
                </c:pt>
                <c:pt idx="6">
                  <c:v>500 et +</c:v>
                </c:pt>
              </c:strCache>
            </c:strRef>
          </c:cat>
          <c:val>
            <c:numRef>
              <c:f>'Q15_Tab 37'!$B$9:$H$9</c:f>
              <c:numCache>
                <c:formatCode>0.0</c:formatCode>
                <c:ptCount val="7"/>
                <c:pt idx="0">
                  <c:v>7.1</c:v>
                </c:pt>
                <c:pt idx="1">
                  <c:v>4.9000000000000004</c:v>
                </c:pt>
                <c:pt idx="2">
                  <c:v>6.1</c:v>
                </c:pt>
                <c:pt idx="3">
                  <c:v>6.7</c:v>
                </c:pt>
                <c:pt idx="4">
                  <c:v>7.1999999999999993</c:v>
                </c:pt>
                <c:pt idx="5">
                  <c:v>7.6</c:v>
                </c:pt>
                <c:pt idx="6">
                  <c:v>8.2000000000000011</c:v>
                </c:pt>
              </c:numCache>
            </c:numRef>
          </c:val>
          <c:extLst>
            <c:ext xmlns:c16="http://schemas.microsoft.com/office/drawing/2014/chart" uri="{C3380CC4-5D6E-409C-BE32-E72D297353CC}">
              <c16:uniqueId val="{00000004-1BD5-44B5-8E3E-F808813A3FDD}"/>
            </c:ext>
          </c:extLst>
        </c:ser>
        <c:ser>
          <c:idx val="5"/>
          <c:order val="5"/>
          <c:tx>
            <c:strRef>
              <c:f>'Q15_Tab 37'!$A$10</c:f>
              <c:strCache>
                <c:ptCount val="1"/>
                <c:pt idx="0">
                  <c:v>Exercice du droit de retrait</c:v>
                </c:pt>
              </c:strCache>
            </c:strRef>
          </c:tx>
          <c:spPr>
            <a:solidFill>
              <a:schemeClr val="accent6"/>
            </a:solidFill>
            <a:ln>
              <a:noFill/>
            </a:ln>
            <a:effectLst/>
          </c:spPr>
          <c:invertIfNegative val="0"/>
          <c:cat>
            <c:strRef>
              <c:f>'Q15_Tab 37'!$B$4:$H$4</c:f>
              <c:strCache>
                <c:ptCount val="7"/>
                <c:pt idx="0">
                  <c:v>Ensemble</c:v>
                </c:pt>
                <c:pt idx="1">
                  <c:v>10 - 19</c:v>
                </c:pt>
                <c:pt idx="2">
                  <c:v>20 - 49</c:v>
                </c:pt>
                <c:pt idx="3">
                  <c:v>50 - 99</c:v>
                </c:pt>
                <c:pt idx="4">
                  <c:v>100 - 249</c:v>
                </c:pt>
                <c:pt idx="5">
                  <c:v>250 - 499</c:v>
                </c:pt>
                <c:pt idx="6">
                  <c:v>500 et +</c:v>
                </c:pt>
              </c:strCache>
            </c:strRef>
          </c:cat>
          <c:val>
            <c:numRef>
              <c:f>'Q15_Tab 37'!$B$10:$H$10</c:f>
              <c:numCache>
                <c:formatCode>0.0</c:formatCode>
                <c:ptCount val="7"/>
                <c:pt idx="0">
                  <c:v>0.2</c:v>
                </c:pt>
                <c:pt idx="1">
                  <c:v>0.1</c:v>
                </c:pt>
                <c:pt idx="2">
                  <c:v>0.1</c:v>
                </c:pt>
                <c:pt idx="3">
                  <c:v>0.1</c:v>
                </c:pt>
                <c:pt idx="4">
                  <c:v>0.1</c:v>
                </c:pt>
                <c:pt idx="5">
                  <c:v>0.1</c:v>
                </c:pt>
                <c:pt idx="6">
                  <c:v>0.3</c:v>
                </c:pt>
              </c:numCache>
            </c:numRef>
          </c:val>
          <c:extLst>
            <c:ext xmlns:c16="http://schemas.microsoft.com/office/drawing/2014/chart" uri="{C3380CC4-5D6E-409C-BE32-E72D297353CC}">
              <c16:uniqueId val="{00000005-1BD5-44B5-8E3E-F808813A3FDD}"/>
            </c:ext>
          </c:extLst>
        </c:ser>
        <c:dLbls>
          <c:showLegendKey val="0"/>
          <c:showVal val="0"/>
          <c:showCatName val="0"/>
          <c:showSerName val="0"/>
          <c:showPercent val="0"/>
          <c:showBubbleSize val="0"/>
        </c:dLbls>
        <c:gapWidth val="150"/>
        <c:overlap val="100"/>
        <c:axId val="549225864"/>
        <c:axId val="549225536"/>
      </c:barChart>
      <c:catAx>
        <c:axId val="549225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536"/>
        <c:crosses val="autoZero"/>
        <c:auto val="1"/>
        <c:lblAlgn val="ctr"/>
        <c:lblOffset val="100"/>
        <c:noMultiLvlLbl val="0"/>
      </c:catAx>
      <c:valAx>
        <c:axId val="549225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selon différentes situations, par secteur d'activité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'Q15_Tab 38'!$B$4</c:f>
              <c:strCache>
                <c:ptCount val="1"/>
                <c:pt idx="0">
                  <c:v>Travail sur site ou sur chantiers</c:v>
                </c:pt>
              </c:strCache>
            </c:strRef>
          </c:tx>
          <c:spPr>
            <a:solidFill>
              <a:schemeClr val="accent1"/>
            </a:solidFill>
            <a:ln>
              <a:noFill/>
            </a:ln>
            <a:effectLst/>
          </c:spPr>
          <c:invertIfNegative val="0"/>
          <c:cat>
            <c:strRef>
              <c:f>'Q15_Tab 38'!$A$5:$A$21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38'!$B$5:$B$21</c:f>
              <c:numCache>
                <c:formatCode>0.0</c:formatCode>
                <c:ptCount val="17"/>
                <c:pt idx="0">
                  <c:v>63</c:v>
                </c:pt>
                <c:pt idx="1">
                  <c:v>67.100000000000009</c:v>
                </c:pt>
                <c:pt idx="2">
                  <c:v>72.599999999999994</c:v>
                </c:pt>
                <c:pt idx="3">
                  <c:v>62.1</c:v>
                </c:pt>
                <c:pt idx="4">
                  <c:v>58.9</c:v>
                </c:pt>
                <c:pt idx="5">
                  <c:v>53.7</c:v>
                </c:pt>
                <c:pt idx="6">
                  <c:v>68.8</c:v>
                </c:pt>
                <c:pt idx="7">
                  <c:v>83.399999999999991</c:v>
                </c:pt>
                <c:pt idx="8">
                  <c:v>68.7</c:v>
                </c:pt>
                <c:pt idx="9">
                  <c:v>60.3</c:v>
                </c:pt>
                <c:pt idx="10">
                  <c:v>54.900000000000006</c:v>
                </c:pt>
                <c:pt idx="11">
                  <c:v>26.8</c:v>
                </c:pt>
                <c:pt idx="12">
                  <c:v>48</c:v>
                </c:pt>
                <c:pt idx="13">
                  <c:v>59.5</c:v>
                </c:pt>
                <c:pt idx="14">
                  <c:v>56.3</c:v>
                </c:pt>
                <c:pt idx="15">
                  <c:v>73.3</c:v>
                </c:pt>
                <c:pt idx="16">
                  <c:v>59.3</c:v>
                </c:pt>
              </c:numCache>
            </c:numRef>
          </c:val>
          <c:extLst>
            <c:ext xmlns:c16="http://schemas.microsoft.com/office/drawing/2014/chart" uri="{C3380CC4-5D6E-409C-BE32-E72D297353CC}">
              <c16:uniqueId val="{00000000-3453-485A-A1C9-66AD9454FB93}"/>
            </c:ext>
          </c:extLst>
        </c:ser>
        <c:ser>
          <c:idx val="1"/>
          <c:order val="1"/>
          <c:tx>
            <c:strRef>
              <c:f>'Q15_Tab 38'!$C$4</c:f>
              <c:strCache>
                <c:ptCount val="1"/>
                <c:pt idx="0">
                  <c:v>Télétravail ou travail à distance</c:v>
                </c:pt>
              </c:strCache>
            </c:strRef>
          </c:tx>
          <c:spPr>
            <a:solidFill>
              <a:schemeClr val="accent2"/>
            </a:solidFill>
            <a:ln>
              <a:noFill/>
            </a:ln>
            <a:effectLst/>
          </c:spPr>
          <c:invertIfNegative val="0"/>
          <c:cat>
            <c:strRef>
              <c:f>'Q15_Tab 38'!$A$5:$A$21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38'!$C$5:$C$21</c:f>
              <c:numCache>
                <c:formatCode>0.0</c:formatCode>
                <c:ptCount val="17"/>
                <c:pt idx="0">
                  <c:v>16.600000000000001</c:v>
                </c:pt>
                <c:pt idx="1">
                  <c:v>20.100000000000001</c:v>
                </c:pt>
                <c:pt idx="2">
                  <c:v>8.5</c:v>
                </c:pt>
                <c:pt idx="3">
                  <c:v>27.1</c:v>
                </c:pt>
                <c:pt idx="4">
                  <c:v>23.799999999999997</c:v>
                </c:pt>
                <c:pt idx="5">
                  <c:v>25.3</c:v>
                </c:pt>
                <c:pt idx="6">
                  <c:v>11.700000000000001</c:v>
                </c:pt>
                <c:pt idx="7">
                  <c:v>5.2</c:v>
                </c:pt>
                <c:pt idx="8">
                  <c:v>11.700000000000001</c:v>
                </c:pt>
                <c:pt idx="9">
                  <c:v>14.899999999999999</c:v>
                </c:pt>
                <c:pt idx="10">
                  <c:v>3.2</c:v>
                </c:pt>
                <c:pt idx="11">
                  <c:v>52.1</c:v>
                </c:pt>
                <c:pt idx="12">
                  <c:v>35.5</c:v>
                </c:pt>
                <c:pt idx="13">
                  <c:v>21.9</c:v>
                </c:pt>
                <c:pt idx="14">
                  <c:v>23.200000000000003</c:v>
                </c:pt>
                <c:pt idx="15">
                  <c:v>7.1</c:v>
                </c:pt>
                <c:pt idx="16">
                  <c:v>17.399999999999999</c:v>
                </c:pt>
              </c:numCache>
            </c:numRef>
          </c:val>
          <c:extLst>
            <c:ext xmlns:c16="http://schemas.microsoft.com/office/drawing/2014/chart" uri="{C3380CC4-5D6E-409C-BE32-E72D297353CC}">
              <c16:uniqueId val="{00000001-3453-485A-A1C9-66AD9454FB93}"/>
            </c:ext>
          </c:extLst>
        </c:ser>
        <c:ser>
          <c:idx val="2"/>
          <c:order val="2"/>
          <c:tx>
            <c:strRef>
              <c:f>'Q15_Tab 38'!$D$4</c:f>
              <c:strCache>
                <c:ptCount val="1"/>
                <c:pt idx="0">
                  <c:v>Chômage partiel complet</c:v>
                </c:pt>
              </c:strCache>
            </c:strRef>
          </c:tx>
          <c:spPr>
            <a:solidFill>
              <a:schemeClr val="accent3"/>
            </a:solidFill>
            <a:ln>
              <a:noFill/>
            </a:ln>
            <a:effectLst/>
          </c:spPr>
          <c:invertIfNegative val="0"/>
          <c:cat>
            <c:strRef>
              <c:f>'Q15_Tab 38'!$A$5:$A$21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38'!$D$5:$D$21</c:f>
              <c:numCache>
                <c:formatCode>0.0</c:formatCode>
                <c:ptCount val="17"/>
                <c:pt idx="0">
                  <c:v>6.9</c:v>
                </c:pt>
                <c:pt idx="1">
                  <c:v>1.3</c:v>
                </c:pt>
                <c:pt idx="2">
                  <c:v>4.5</c:v>
                </c:pt>
                <c:pt idx="3">
                  <c:v>0.2</c:v>
                </c:pt>
                <c:pt idx="4">
                  <c:v>5.0999999999999996</c:v>
                </c:pt>
                <c:pt idx="5">
                  <c:v>9.1999999999999993</c:v>
                </c:pt>
                <c:pt idx="6">
                  <c:v>6.6000000000000005</c:v>
                </c:pt>
                <c:pt idx="7">
                  <c:v>3.6999999999999997</c:v>
                </c:pt>
                <c:pt idx="8">
                  <c:v>5.4</c:v>
                </c:pt>
                <c:pt idx="9">
                  <c:v>9.7000000000000011</c:v>
                </c:pt>
                <c:pt idx="10">
                  <c:v>27.400000000000002</c:v>
                </c:pt>
                <c:pt idx="11">
                  <c:v>5</c:v>
                </c:pt>
                <c:pt idx="12">
                  <c:v>1.6</c:v>
                </c:pt>
                <c:pt idx="13">
                  <c:v>4</c:v>
                </c:pt>
                <c:pt idx="14">
                  <c:v>7.9</c:v>
                </c:pt>
                <c:pt idx="15">
                  <c:v>3.8</c:v>
                </c:pt>
                <c:pt idx="16">
                  <c:v>14.000000000000002</c:v>
                </c:pt>
              </c:numCache>
            </c:numRef>
          </c:val>
          <c:extLst>
            <c:ext xmlns:c16="http://schemas.microsoft.com/office/drawing/2014/chart" uri="{C3380CC4-5D6E-409C-BE32-E72D297353CC}">
              <c16:uniqueId val="{00000002-3453-485A-A1C9-66AD9454FB93}"/>
            </c:ext>
          </c:extLst>
        </c:ser>
        <c:ser>
          <c:idx val="3"/>
          <c:order val="3"/>
          <c:tx>
            <c:strRef>
              <c:f>'Q15_Tab 38'!$E$4</c:f>
              <c:strCache>
                <c:ptCount val="1"/>
                <c:pt idx="0">
                  <c:v>Arrêt maladie</c:v>
                </c:pt>
              </c:strCache>
            </c:strRef>
          </c:tx>
          <c:spPr>
            <a:solidFill>
              <a:schemeClr val="accent4"/>
            </a:solidFill>
            <a:ln>
              <a:noFill/>
            </a:ln>
            <a:effectLst/>
          </c:spPr>
          <c:invertIfNegative val="0"/>
          <c:cat>
            <c:strRef>
              <c:f>'Q15_Tab 38'!$A$5:$A$21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38'!$E$5:$E$21</c:f>
              <c:numCache>
                <c:formatCode>0.0</c:formatCode>
                <c:ptCount val="17"/>
                <c:pt idx="0">
                  <c:v>6.2</c:v>
                </c:pt>
                <c:pt idx="1">
                  <c:v>5.3</c:v>
                </c:pt>
                <c:pt idx="2">
                  <c:v>7.0000000000000009</c:v>
                </c:pt>
                <c:pt idx="3">
                  <c:v>6.6000000000000005</c:v>
                </c:pt>
                <c:pt idx="4">
                  <c:v>6.3</c:v>
                </c:pt>
                <c:pt idx="5">
                  <c:v>5.4</c:v>
                </c:pt>
                <c:pt idx="6">
                  <c:v>6.6000000000000005</c:v>
                </c:pt>
                <c:pt idx="7">
                  <c:v>4.5999999999999996</c:v>
                </c:pt>
                <c:pt idx="8">
                  <c:v>6.6000000000000005</c:v>
                </c:pt>
                <c:pt idx="9">
                  <c:v>6.3</c:v>
                </c:pt>
                <c:pt idx="10">
                  <c:v>5</c:v>
                </c:pt>
                <c:pt idx="11">
                  <c:v>5.4</c:v>
                </c:pt>
                <c:pt idx="12">
                  <c:v>7.1</c:v>
                </c:pt>
                <c:pt idx="13">
                  <c:v>6.3</c:v>
                </c:pt>
                <c:pt idx="14">
                  <c:v>4.9000000000000004</c:v>
                </c:pt>
                <c:pt idx="15">
                  <c:v>8.4</c:v>
                </c:pt>
                <c:pt idx="16">
                  <c:v>4.3999999999999995</c:v>
                </c:pt>
              </c:numCache>
            </c:numRef>
          </c:val>
          <c:extLst>
            <c:ext xmlns:c16="http://schemas.microsoft.com/office/drawing/2014/chart" uri="{C3380CC4-5D6E-409C-BE32-E72D297353CC}">
              <c16:uniqueId val="{00000003-3453-485A-A1C9-66AD9454FB93}"/>
            </c:ext>
          </c:extLst>
        </c:ser>
        <c:ser>
          <c:idx val="4"/>
          <c:order val="4"/>
          <c:tx>
            <c:strRef>
              <c:f>'Q15_Tab 38'!$F$4</c:f>
              <c:strCache>
                <c:ptCount val="1"/>
                <c:pt idx="0">
                  <c:v>Congés</c:v>
                </c:pt>
              </c:strCache>
            </c:strRef>
          </c:tx>
          <c:spPr>
            <a:solidFill>
              <a:schemeClr val="accent5"/>
            </a:solidFill>
            <a:ln>
              <a:noFill/>
            </a:ln>
            <a:effectLst/>
          </c:spPr>
          <c:invertIfNegative val="0"/>
          <c:cat>
            <c:strRef>
              <c:f>'Q15_Tab 38'!$A$5:$A$21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38'!$F$5:$F$21</c:f>
              <c:numCache>
                <c:formatCode>0.0</c:formatCode>
                <c:ptCount val="17"/>
                <c:pt idx="0">
                  <c:v>7.1</c:v>
                </c:pt>
                <c:pt idx="1">
                  <c:v>6.2</c:v>
                </c:pt>
                <c:pt idx="2">
                  <c:v>7.3999999999999995</c:v>
                </c:pt>
                <c:pt idx="3">
                  <c:v>4</c:v>
                </c:pt>
                <c:pt idx="4">
                  <c:v>5.8000000000000007</c:v>
                </c:pt>
                <c:pt idx="5">
                  <c:v>6.3</c:v>
                </c:pt>
                <c:pt idx="6">
                  <c:v>6.2</c:v>
                </c:pt>
                <c:pt idx="7">
                  <c:v>3</c:v>
                </c:pt>
                <c:pt idx="8">
                  <c:v>7.3</c:v>
                </c:pt>
                <c:pt idx="9">
                  <c:v>8.5</c:v>
                </c:pt>
                <c:pt idx="10">
                  <c:v>8.6999999999999993</c:v>
                </c:pt>
                <c:pt idx="11">
                  <c:v>10.100000000000001</c:v>
                </c:pt>
                <c:pt idx="12">
                  <c:v>7.7</c:v>
                </c:pt>
                <c:pt idx="13">
                  <c:v>8.3000000000000007</c:v>
                </c:pt>
                <c:pt idx="14">
                  <c:v>7.5</c:v>
                </c:pt>
                <c:pt idx="15">
                  <c:v>7.3</c:v>
                </c:pt>
                <c:pt idx="16">
                  <c:v>4.8</c:v>
                </c:pt>
              </c:numCache>
            </c:numRef>
          </c:val>
          <c:extLst>
            <c:ext xmlns:c16="http://schemas.microsoft.com/office/drawing/2014/chart" uri="{C3380CC4-5D6E-409C-BE32-E72D297353CC}">
              <c16:uniqueId val="{00000004-3453-485A-A1C9-66AD9454FB93}"/>
            </c:ext>
          </c:extLst>
        </c:ser>
        <c:ser>
          <c:idx val="5"/>
          <c:order val="5"/>
          <c:tx>
            <c:strRef>
              <c:f>'Q15_Tab 38'!$G$4</c:f>
              <c:strCache>
                <c:ptCount val="1"/>
                <c:pt idx="0">
                  <c:v>Exercice du droit de retrait</c:v>
                </c:pt>
              </c:strCache>
            </c:strRef>
          </c:tx>
          <c:spPr>
            <a:solidFill>
              <a:schemeClr val="accent6"/>
            </a:solidFill>
            <a:ln>
              <a:noFill/>
            </a:ln>
            <a:effectLst/>
          </c:spPr>
          <c:invertIfNegative val="0"/>
          <c:cat>
            <c:strRef>
              <c:f>'Q15_Tab 38'!$A$5:$A$21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38'!$G$5:$G$21</c:f>
              <c:numCache>
                <c:formatCode>0.0</c:formatCode>
                <c:ptCount val="17"/>
                <c:pt idx="0">
                  <c:v>0.2</c:v>
                </c:pt>
                <c:pt idx="1">
                  <c:v>0</c:v>
                </c:pt>
                <c:pt idx="2">
                  <c:v>0</c:v>
                </c:pt>
                <c:pt idx="3">
                  <c:v>0</c:v>
                </c:pt>
                <c:pt idx="4">
                  <c:v>0.1</c:v>
                </c:pt>
                <c:pt idx="5">
                  <c:v>0.1</c:v>
                </c:pt>
                <c:pt idx="6">
                  <c:v>0.1</c:v>
                </c:pt>
                <c:pt idx="7">
                  <c:v>0</c:v>
                </c:pt>
                <c:pt idx="8">
                  <c:v>0.2</c:v>
                </c:pt>
                <c:pt idx="9">
                  <c:v>0.2</c:v>
                </c:pt>
                <c:pt idx="10">
                  <c:v>0.89999999999999991</c:v>
                </c:pt>
                <c:pt idx="11">
                  <c:v>0.6</c:v>
                </c:pt>
                <c:pt idx="12">
                  <c:v>0.1</c:v>
                </c:pt>
                <c:pt idx="13">
                  <c:v>0</c:v>
                </c:pt>
                <c:pt idx="14">
                  <c:v>0.2</c:v>
                </c:pt>
                <c:pt idx="15">
                  <c:v>0</c:v>
                </c:pt>
                <c:pt idx="16">
                  <c:v>0</c:v>
                </c:pt>
              </c:numCache>
            </c:numRef>
          </c:val>
          <c:extLst>
            <c:ext xmlns:c16="http://schemas.microsoft.com/office/drawing/2014/chart" uri="{C3380CC4-5D6E-409C-BE32-E72D297353CC}">
              <c16:uniqueId val="{00000005-3453-485A-A1C9-66AD9454FB93}"/>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Accords d'entreprise conclus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spPr>
            <a:solidFill>
              <a:schemeClr val="accent1"/>
            </a:solidFill>
            <a:ln>
              <a:noFill/>
            </a:ln>
            <a:effectLst/>
          </c:spPr>
          <c:invertIfNegative val="0"/>
          <c:cat>
            <c:strRef>
              <c:f>'Q16_Tab 39'!$A$5:$A$12</c:f>
              <c:strCache>
                <c:ptCount val="8"/>
                <c:pt idx="0">
                  <c:v>Aucun accord conclu sur ces sujets</c:v>
                </c:pt>
                <c:pt idx="1">
                  <c:v>La prime exceptionnelle de pouvoir d'achat</c:v>
                </c:pt>
                <c:pt idx="2">
                  <c:v>L'activité partielle</c:v>
                </c:pt>
                <c:pt idx="3">
                  <c:v>L'aménagement des congés payés et les jours octroyés dans le cadre de la réduction du temps de travail</c:v>
                </c:pt>
                <c:pt idx="4">
                  <c:v>Le télétravail</c:v>
                </c:pt>
                <c:pt idx="5">
                  <c:v>Les heures supplémentaires</c:v>
                </c:pt>
                <c:pt idx="6">
                  <c:v>L'augmentation de la durée du travail, hebdomadaire ou quotidienne</c:v>
                </c:pt>
                <c:pt idx="7">
                  <c:v>Le travail le dimanche ou les jours de repos</c:v>
                </c:pt>
              </c:strCache>
            </c:strRef>
          </c:cat>
          <c:val>
            <c:numRef>
              <c:f>'Q16_Tab 39'!$B$5:$B$12</c:f>
              <c:numCache>
                <c:formatCode>0.0</c:formatCode>
                <c:ptCount val="8"/>
                <c:pt idx="0">
                  <c:v>63.1</c:v>
                </c:pt>
                <c:pt idx="1">
                  <c:v>17.100000000000001</c:v>
                </c:pt>
                <c:pt idx="2">
                  <c:v>16.2</c:v>
                </c:pt>
                <c:pt idx="3">
                  <c:v>11</c:v>
                </c:pt>
                <c:pt idx="4">
                  <c:v>8.9</c:v>
                </c:pt>
                <c:pt idx="5">
                  <c:v>1.7999999999999998</c:v>
                </c:pt>
                <c:pt idx="6">
                  <c:v>1.2</c:v>
                </c:pt>
                <c:pt idx="7">
                  <c:v>0.5</c:v>
                </c:pt>
              </c:numCache>
            </c:numRef>
          </c:val>
          <c:extLst>
            <c:ext xmlns:c16="http://schemas.microsoft.com/office/drawing/2014/chart" uri="{C3380CC4-5D6E-409C-BE32-E72D297353CC}">
              <c16:uniqueId val="{00000000-D2A3-45FF-B01D-977F3AD5BFFB}"/>
            </c:ext>
          </c:extLst>
        </c:ser>
        <c:dLbls>
          <c:showLegendKey val="0"/>
          <c:showVal val="0"/>
          <c:showCatName val="0"/>
          <c:showSerName val="0"/>
          <c:showPercent val="0"/>
          <c:showBubbleSize val="0"/>
        </c:dLbls>
        <c:gapWidth val="150"/>
        <c:overlap val="100"/>
        <c:axId val="798388696"/>
        <c:axId val="798392960"/>
      </c:barChart>
      <c:catAx>
        <c:axId val="798388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8392960"/>
        <c:crosses val="autoZero"/>
        <c:auto val="1"/>
        <c:lblAlgn val="ctr"/>
        <c:lblOffset val="100"/>
        <c:noMultiLvlLbl val="0"/>
      </c:catAx>
      <c:valAx>
        <c:axId val="798392960"/>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8388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Accords d'entreprise conclus,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'Q16_Tab 40'!$B$4</c:f>
              <c:strCache>
                <c:ptCount val="1"/>
                <c:pt idx="0">
                  <c:v>Total</c:v>
                </c:pt>
              </c:strCache>
            </c:strRef>
          </c:tx>
          <c:spPr>
            <a:solidFill>
              <a:schemeClr val="accent1"/>
            </a:solidFill>
            <a:ln>
              <a:noFill/>
            </a:ln>
            <a:effectLst/>
          </c:spPr>
          <c:invertIfNegative val="0"/>
          <c:cat>
            <c:strRef>
              <c:f>'Q16_Tab 40'!$A$5:$A$12</c:f>
              <c:strCache>
                <c:ptCount val="8"/>
                <c:pt idx="0">
                  <c:v>La prime exceptionnelle de pouvoir d'achat</c:v>
                </c:pt>
                <c:pt idx="1">
                  <c:v>L'aménagement des congés payés et les jours octroyés dans le cadre de la réduction du temps de travail</c:v>
                </c:pt>
                <c:pt idx="2">
                  <c:v>L'augmentation de la durée du travail, hebdomadaire ou quotidienne</c:v>
                </c:pt>
                <c:pt idx="3">
                  <c:v>Les heures supplémentaires</c:v>
                </c:pt>
                <c:pt idx="4">
                  <c:v>Le travail le dimanche ou les jours de repos</c:v>
                </c:pt>
                <c:pt idx="5">
                  <c:v>L'activité partielle</c:v>
                </c:pt>
                <c:pt idx="6">
                  <c:v>Le télétravail</c:v>
                </c:pt>
                <c:pt idx="7">
                  <c:v>Aucun accord conclu sur ces sujets</c:v>
                </c:pt>
              </c:strCache>
            </c:strRef>
          </c:cat>
          <c:val>
            <c:numRef>
              <c:f>'Q16_Tab 40'!$B$5:$B$12</c:f>
              <c:numCache>
                <c:formatCode>0.0</c:formatCode>
                <c:ptCount val="8"/>
                <c:pt idx="0">
                  <c:v>17.100000000000001</c:v>
                </c:pt>
                <c:pt idx="1">
                  <c:v>11</c:v>
                </c:pt>
                <c:pt idx="2">
                  <c:v>1.2</c:v>
                </c:pt>
                <c:pt idx="3">
                  <c:v>1.7999999999999998</c:v>
                </c:pt>
                <c:pt idx="4">
                  <c:v>0.5</c:v>
                </c:pt>
                <c:pt idx="5">
                  <c:v>16.2</c:v>
                </c:pt>
                <c:pt idx="6">
                  <c:v>8.9</c:v>
                </c:pt>
                <c:pt idx="7">
                  <c:v>63.1</c:v>
                </c:pt>
              </c:numCache>
            </c:numRef>
          </c:val>
          <c:extLst>
            <c:ext xmlns:c16="http://schemas.microsoft.com/office/drawing/2014/chart" uri="{C3380CC4-5D6E-409C-BE32-E72D297353CC}">
              <c16:uniqueId val="{00000000-A732-4D29-9FE8-D49A171544CA}"/>
            </c:ext>
          </c:extLst>
        </c:ser>
        <c:ser>
          <c:idx val="1"/>
          <c:order val="1"/>
          <c:tx>
            <c:strRef>
              <c:f>'Q16_Tab 40'!$C$4</c:f>
              <c:strCache>
                <c:ptCount val="1"/>
                <c:pt idx="0">
                  <c:v>10 - 19</c:v>
                </c:pt>
              </c:strCache>
            </c:strRef>
          </c:tx>
          <c:spPr>
            <a:solidFill>
              <a:schemeClr val="accent2"/>
            </a:solidFill>
            <a:ln>
              <a:noFill/>
            </a:ln>
            <a:effectLst/>
          </c:spPr>
          <c:invertIfNegative val="0"/>
          <c:cat>
            <c:strRef>
              <c:f>'Q16_Tab 40'!$A$5:$A$12</c:f>
              <c:strCache>
                <c:ptCount val="8"/>
                <c:pt idx="0">
                  <c:v>La prime exceptionnelle de pouvoir d'achat</c:v>
                </c:pt>
                <c:pt idx="1">
                  <c:v>L'aménagement des congés payés et les jours octroyés dans le cadre de la réduction du temps de travail</c:v>
                </c:pt>
                <c:pt idx="2">
                  <c:v>L'augmentation de la durée du travail, hebdomadaire ou quotidienne</c:v>
                </c:pt>
                <c:pt idx="3">
                  <c:v>Les heures supplémentaires</c:v>
                </c:pt>
                <c:pt idx="4">
                  <c:v>Le travail le dimanche ou les jours de repos</c:v>
                </c:pt>
                <c:pt idx="5">
                  <c:v>L'activité partielle</c:v>
                </c:pt>
                <c:pt idx="6">
                  <c:v>Le télétravail</c:v>
                </c:pt>
                <c:pt idx="7">
                  <c:v>Aucun accord conclu sur ces sujets</c:v>
                </c:pt>
              </c:strCache>
            </c:strRef>
          </c:cat>
          <c:val>
            <c:numRef>
              <c:f>'Q16_Tab 40'!$C$5:$C$12</c:f>
              <c:numCache>
                <c:formatCode>0.0</c:formatCode>
                <c:ptCount val="8"/>
                <c:pt idx="0">
                  <c:v>11.899999999999999</c:v>
                </c:pt>
                <c:pt idx="1">
                  <c:v>5.4</c:v>
                </c:pt>
                <c:pt idx="2">
                  <c:v>0.8</c:v>
                </c:pt>
                <c:pt idx="3">
                  <c:v>1.9</c:v>
                </c:pt>
                <c:pt idx="4">
                  <c:v>0.3</c:v>
                </c:pt>
                <c:pt idx="5">
                  <c:v>17.399999999999999</c:v>
                </c:pt>
                <c:pt idx="6">
                  <c:v>9.5</c:v>
                </c:pt>
                <c:pt idx="7">
                  <c:v>69.199999999999989</c:v>
                </c:pt>
              </c:numCache>
            </c:numRef>
          </c:val>
          <c:extLst>
            <c:ext xmlns:c16="http://schemas.microsoft.com/office/drawing/2014/chart" uri="{C3380CC4-5D6E-409C-BE32-E72D297353CC}">
              <c16:uniqueId val="{00000001-A732-4D29-9FE8-D49A171544CA}"/>
            </c:ext>
          </c:extLst>
        </c:ser>
        <c:ser>
          <c:idx val="2"/>
          <c:order val="2"/>
          <c:tx>
            <c:strRef>
              <c:f>'Q16_Tab 40'!$D$4</c:f>
              <c:strCache>
                <c:ptCount val="1"/>
                <c:pt idx="0">
                  <c:v>20 - 49</c:v>
                </c:pt>
              </c:strCache>
            </c:strRef>
          </c:tx>
          <c:spPr>
            <a:solidFill>
              <a:schemeClr val="accent3"/>
            </a:solidFill>
            <a:ln>
              <a:noFill/>
            </a:ln>
            <a:effectLst/>
          </c:spPr>
          <c:invertIfNegative val="0"/>
          <c:cat>
            <c:strRef>
              <c:f>'Q16_Tab 40'!$A$5:$A$12</c:f>
              <c:strCache>
                <c:ptCount val="8"/>
                <c:pt idx="0">
                  <c:v>La prime exceptionnelle de pouvoir d'achat</c:v>
                </c:pt>
                <c:pt idx="1">
                  <c:v>L'aménagement des congés payés et les jours octroyés dans le cadre de la réduction du temps de travail</c:v>
                </c:pt>
                <c:pt idx="2">
                  <c:v>L'augmentation de la durée du travail, hebdomadaire ou quotidienne</c:v>
                </c:pt>
                <c:pt idx="3">
                  <c:v>Les heures supplémentaires</c:v>
                </c:pt>
                <c:pt idx="4">
                  <c:v>Le travail le dimanche ou les jours de repos</c:v>
                </c:pt>
                <c:pt idx="5">
                  <c:v>L'activité partielle</c:v>
                </c:pt>
                <c:pt idx="6">
                  <c:v>Le télétravail</c:v>
                </c:pt>
                <c:pt idx="7">
                  <c:v>Aucun accord conclu sur ces sujets</c:v>
                </c:pt>
              </c:strCache>
            </c:strRef>
          </c:cat>
          <c:val>
            <c:numRef>
              <c:f>'Q16_Tab 40'!$D$5:$D$12</c:f>
              <c:numCache>
                <c:formatCode>0.0</c:formatCode>
                <c:ptCount val="8"/>
                <c:pt idx="0">
                  <c:v>15.299999999999999</c:v>
                </c:pt>
                <c:pt idx="1">
                  <c:v>8.5</c:v>
                </c:pt>
                <c:pt idx="2">
                  <c:v>0.8</c:v>
                </c:pt>
                <c:pt idx="3">
                  <c:v>2.1</c:v>
                </c:pt>
                <c:pt idx="4">
                  <c:v>0.1</c:v>
                </c:pt>
                <c:pt idx="5">
                  <c:v>18.399999999999999</c:v>
                </c:pt>
                <c:pt idx="6">
                  <c:v>8.6999999999999993</c:v>
                </c:pt>
                <c:pt idx="7">
                  <c:v>64.2</c:v>
                </c:pt>
              </c:numCache>
            </c:numRef>
          </c:val>
          <c:extLst>
            <c:ext xmlns:c16="http://schemas.microsoft.com/office/drawing/2014/chart" uri="{C3380CC4-5D6E-409C-BE32-E72D297353CC}">
              <c16:uniqueId val="{00000002-A732-4D29-9FE8-D49A171544CA}"/>
            </c:ext>
          </c:extLst>
        </c:ser>
        <c:ser>
          <c:idx val="3"/>
          <c:order val="3"/>
          <c:tx>
            <c:strRef>
              <c:f>'Q16_Tab 40'!$E$4</c:f>
              <c:strCache>
                <c:ptCount val="1"/>
                <c:pt idx="0">
                  <c:v>50 - 99</c:v>
                </c:pt>
              </c:strCache>
            </c:strRef>
          </c:tx>
          <c:spPr>
            <a:solidFill>
              <a:schemeClr val="accent4"/>
            </a:solidFill>
            <a:ln>
              <a:noFill/>
            </a:ln>
            <a:effectLst/>
          </c:spPr>
          <c:invertIfNegative val="0"/>
          <c:cat>
            <c:strRef>
              <c:f>'Q16_Tab 40'!$A$5:$A$12</c:f>
              <c:strCache>
                <c:ptCount val="8"/>
                <c:pt idx="0">
                  <c:v>La prime exceptionnelle de pouvoir d'achat</c:v>
                </c:pt>
                <c:pt idx="1">
                  <c:v>L'aménagement des congés payés et les jours octroyés dans le cadre de la réduction du temps de travail</c:v>
                </c:pt>
                <c:pt idx="2">
                  <c:v>L'augmentation de la durée du travail, hebdomadaire ou quotidienne</c:v>
                </c:pt>
                <c:pt idx="3">
                  <c:v>Les heures supplémentaires</c:v>
                </c:pt>
                <c:pt idx="4">
                  <c:v>Le travail le dimanche ou les jours de repos</c:v>
                </c:pt>
                <c:pt idx="5">
                  <c:v>L'activité partielle</c:v>
                </c:pt>
                <c:pt idx="6">
                  <c:v>Le télétravail</c:v>
                </c:pt>
                <c:pt idx="7">
                  <c:v>Aucun accord conclu sur ces sujets</c:v>
                </c:pt>
              </c:strCache>
            </c:strRef>
          </c:cat>
          <c:val>
            <c:numRef>
              <c:f>'Q16_Tab 40'!$E$5:$E$12</c:f>
              <c:numCache>
                <c:formatCode>0.0</c:formatCode>
                <c:ptCount val="8"/>
                <c:pt idx="0">
                  <c:v>17.299999999999997</c:v>
                </c:pt>
                <c:pt idx="1">
                  <c:v>8.6</c:v>
                </c:pt>
                <c:pt idx="2">
                  <c:v>0.70000000000000007</c:v>
                </c:pt>
                <c:pt idx="3">
                  <c:v>2</c:v>
                </c:pt>
                <c:pt idx="4">
                  <c:v>0.4</c:v>
                </c:pt>
                <c:pt idx="5">
                  <c:v>17.399999999999999</c:v>
                </c:pt>
                <c:pt idx="6">
                  <c:v>9.4</c:v>
                </c:pt>
                <c:pt idx="7">
                  <c:v>63.5</c:v>
                </c:pt>
              </c:numCache>
            </c:numRef>
          </c:val>
          <c:extLst>
            <c:ext xmlns:c16="http://schemas.microsoft.com/office/drawing/2014/chart" uri="{C3380CC4-5D6E-409C-BE32-E72D297353CC}">
              <c16:uniqueId val="{00000003-A732-4D29-9FE8-D49A171544CA}"/>
            </c:ext>
          </c:extLst>
        </c:ser>
        <c:ser>
          <c:idx val="4"/>
          <c:order val="4"/>
          <c:tx>
            <c:strRef>
              <c:f>'Q16_Tab 40'!$F$4</c:f>
              <c:strCache>
                <c:ptCount val="1"/>
                <c:pt idx="0">
                  <c:v>100 - 249</c:v>
                </c:pt>
              </c:strCache>
            </c:strRef>
          </c:tx>
          <c:spPr>
            <a:solidFill>
              <a:schemeClr val="accent5"/>
            </a:solidFill>
            <a:ln>
              <a:noFill/>
            </a:ln>
            <a:effectLst/>
          </c:spPr>
          <c:invertIfNegative val="0"/>
          <c:cat>
            <c:strRef>
              <c:f>'Q16_Tab 40'!$A$5:$A$12</c:f>
              <c:strCache>
                <c:ptCount val="8"/>
                <c:pt idx="0">
                  <c:v>La prime exceptionnelle de pouvoir d'achat</c:v>
                </c:pt>
                <c:pt idx="1">
                  <c:v>L'aménagement des congés payés et les jours octroyés dans le cadre de la réduction du temps de travail</c:v>
                </c:pt>
                <c:pt idx="2">
                  <c:v>L'augmentation de la durée du travail, hebdomadaire ou quotidienne</c:v>
                </c:pt>
                <c:pt idx="3">
                  <c:v>Les heures supplémentaires</c:v>
                </c:pt>
                <c:pt idx="4">
                  <c:v>Le travail le dimanche ou les jours de repos</c:v>
                </c:pt>
                <c:pt idx="5">
                  <c:v>L'activité partielle</c:v>
                </c:pt>
                <c:pt idx="6">
                  <c:v>Le télétravail</c:v>
                </c:pt>
                <c:pt idx="7">
                  <c:v>Aucun accord conclu sur ces sujets</c:v>
                </c:pt>
              </c:strCache>
            </c:strRef>
          </c:cat>
          <c:val>
            <c:numRef>
              <c:f>'Q16_Tab 40'!$F$5:$F$12</c:f>
              <c:numCache>
                <c:formatCode>0.0</c:formatCode>
                <c:ptCount val="8"/>
                <c:pt idx="0">
                  <c:v>19.2</c:v>
                </c:pt>
                <c:pt idx="1">
                  <c:v>13.3</c:v>
                </c:pt>
                <c:pt idx="2">
                  <c:v>1.9</c:v>
                </c:pt>
                <c:pt idx="3">
                  <c:v>2.1</c:v>
                </c:pt>
                <c:pt idx="4">
                  <c:v>0.70000000000000007</c:v>
                </c:pt>
                <c:pt idx="5">
                  <c:v>17.599999999999998</c:v>
                </c:pt>
                <c:pt idx="6">
                  <c:v>8.9</c:v>
                </c:pt>
                <c:pt idx="7">
                  <c:v>58.099999999999994</c:v>
                </c:pt>
              </c:numCache>
            </c:numRef>
          </c:val>
          <c:extLst>
            <c:ext xmlns:c16="http://schemas.microsoft.com/office/drawing/2014/chart" uri="{C3380CC4-5D6E-409C-BE32-E72D297353CC}">
              <c16:uniqueId val="{00000004-A732-4D29-9FE8-D49A171544CA}"/>
            </c:ext>
          </c:extLst>
        </c:ser>
        <c:ser>
          <c:idx val="5"/>
          <c:order val="5"/>
          <c:tx>
            <c:strRef>
              <c:f>'Q16_Tab 40'!$G$4</c:f>
              <c:strCache>
                <c:ptCount val="1"/>
                <c:pt idx="0">
                  <c:v>250 - 499</c:v>
                </c:pt>
              </c:strCache>
            </c:strRef>
          </c:tx>
          <c:spPr>
            <a:solidFill>
              <a:schemeClr val="accent6"/>
            </a:solidFill>
            <a:ln>
              <a:noFill/>
            </a:ln>
            <a:effectLst/>
          </c:spPr>
          <c:invertIfNegative val="0"/>
          <c:cat>
            <c:strRef>
              <c:f>'Q16_Tab 40'!$A$5:$A$12</c:f>
              <c:strCache>
                <c:ptCount val="8"/>
                <c:pt idx="0">
                  <c:v>La prime exceptionnelle de pouvoir d'achat</c:v>
                </c:pt>
                <c:pt idx="1">
                  <c:v>L'aménagement des congés payés et les jours octroyés dans le cadre de la réduction du temps de travail</c:v>
                </c:pt>
                <c:pt idx="2">
                  <c:v>L'augmentation de la durée du travail, hebdomadaire ou quotidienne</c:v>
                </c:pt>
                <c:pt idx="3">
                  <c:v>Les heures supplémentaires</c:v>
                </c:pt>
                <c:pt idx="4">
                  <c:v>Le travail le dimanche ou les jours de repos</c:v>
                </c:pt>
                <c:pt idx="5">
                  <c:v>L'activité partielle</c:v>
                </c:pt>
                <c:pt idx="6">
                  <c:v>Le télétravail</c:v>
                </c:pt>
                <c:pt idx="7">
                  <c:v>Aucun accord conclu sur ces sujets</c:v>
                </c:pt>
              </c:strCache>
            </c:strRef>
          </c:cat>
          <c:val>
            <c:numRef>
              <c:f>'Q16_Tab 40'!$G$5:$G$12</c:f>
              <c:numCache>
                <c:formatCode>0.0</c:formatCode>
                <c:ptCount val="8"/>
                <c:pt idx="0">
                  <c:v>19.2</c:v>
                </c:pt>
                <c:pt idx="1">
                  <c:v>13</c:v>
                </c:pt>
                <c:pt idx="2">
                  <c:v>1.3</c:v>
                </c:pt>
                <c:pt idx="3">
                  <c:v>1.0999999999999999</c:v>
                </c:pt>
                <c:pt idx="4">
                  <c:v>0.6</c:v>
                </c:pt>
                <c:pt idx="5">
                  <c:v>13.8</c:v>
                </c:pt>
                <c:pt idx="6">
                  <c:v>7.3999999999999995</c:v>
                </c:pt>
                <c:pt idx="7">
                  <c:v>61.8</c:v>
                </c:pt>
              </c:numCache>
            </c:numRef>
          </c:val>
          <c:extLst>
            <c:ext xmlns:c16="http://schemas.microsoft.com/office/drawing/2014/chart" uri="{C3380CC4-5D6E-409C-BE32-E72D297353CC}">
              <c16:uniqueId val="{00000005-A732-4D29-9FE8-D49A171544CA}"/>
            </c:ext>
          </c:extLst>
        </c:ser>
        <c:ser>
          <c:idx val="6"/>
          <c:order val="6"/>
          <c:tx>
            <c:strRef>
              <c:f>'Q16_Tab 40'!$H$4</c:f>
              <c:strCache>
                <c:ptCount val="1"/>
                <c:pt idx="0">
                  <c:v>500 et +</c:v>
                </c:pt>
              </c:strCache>
            </c:strRef>
          </c:tx>
          <c:spPr>
            <a:solidFill>
              <a:schemeClr val="accent1">
                <a:lumMod val="60000"/>
              </a:schemeClr>
            </a:solidFill>
            <a:ln>
              <a:noFill/>
            </a:ln>
            <a:effectLst/>
          </c:spPr>
          <c:invertIfNegative val="0"/>
          <c:cat>
            <c:strRef>
              <c:f>'Q16_Tab 40'!$A$5:$A$12</c:f>
              <c:strCache>
                <c:ptCount val="8"/>
                <c:pt idx="0">
                  <c:v>La prime exceptionnelle de pouvoir d'achat</c:v>
                </c:pt>
                <c:pt idx="1">
                  <c:v>L'aménagement des congés payés et les jours octroyés dans le cadre de la réduction du temps de travail</c:v>
                </c:pt>
                <c:pt idx="2">
                  <c:v>L'augmentation de la durée du travail, hebdomadaire ou quotidienne</c:v>
                </c:pt>
                <c:pt idx="3">
                  <c:v>Les heures supplémentaires</c:v>
                </c:pt>
                <c:pt idx="4">
                  <c:v>Le travail le dimanche ou les jours de repos</c:v>
                </c:pt>
                <c:pt idx="5">
                  <c:v>L'activité partielle</c:v>
                </c:pt>
                <c:pt idx="6">
                  <c:v>Le télétravail</c:v>
                </c:pt>
                <c:pt idx="7">
                  <c:v>Aucun accord conclu sur ces sujets</c:v>
                </c:pt>
              </c:strCache>
            </c:strRef>
          </c:cat>
          <c:val>
            <c:numRef>
              <c:f>'Q16_Tab 40'!$H$5:$H$12</c:f>
              <c:numCache>
                <c:formatCode>0.0</c:formatCode>
                <c:ptCount val="8"/>
                <c:pt idx="0">
                  <c:v>18</c:v>
                </c:pt>
                <c:pt idx="1">
                  <c:v>12.9</c:v>
                </c:pt>
                <c:pt idx="2">
                  <c:v>1.3</c:v>
                </c:pt>
                <c:pt idx="3">
                  <c:v>1.7000000000000002</c:v>
                </c:pt>
                <c:pt idx="4">
                  <c:v>0.6</c:v>
                </c:pt>
                <c:pt idx="5">
                  <c:v>14.7</c:v>
                </c:pt>
                <c:pt idx="6">
                  <c:v>9.1</c:v>
                </c:pt>
                <c:pt idx="7">
                  <c:v>62.8</c:v>
                </c:pt>
              </c:numCache>
            </c:numRef>
          </c:val>
          <c:extLst>
            <c:ext xmlns:c16="http://schemas.microsoft.com/office/drawing/2014/chart" uri="{C3380CC4-5D6E-409C-BE32-E72D297353CC}">
              <c16:uniqueId val="{00000006-A732-4D29-9FE8-D49A171544CA}"/>
            </c:ext>
          </c:extLst>
        </c:ser>
        <c:dLbls>
          <c:showLegendKey val="0"/>
          <c:showVal val="0"/>
          <c:showCatName val="0"/>
          <c:showSerName val="0"/>
          <c:showPercent val="0"/>
          <c:showBubbleSize val="0"/>
        </c:dLbls>
        <c:gapWidth val="219"/>
        <c:overlap val="-27"/>
        <c:axId val="798297184"/>
        <c:axId val="798302432"/>
      </c:barChart>
      <c:catAx>
        <c:axId val="79829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8302432"/>
        <c:crosses val="autoZero"/>
        <c:auto val="1"/>
        <c:lblAlgn val="ctr"/>
        <c:lblOffset val="100"/>
        <c:noMultiLvlLbl val="0"/>
      </c:catAx>
      <c:valAx>
        <c:axId val="798302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82971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Accords d'entreprise conclus,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41'!$B$5</c:f>
              <c:strCache>
                <c:ptCount val="1"/>
                <c:pt idx="0">
                  <c:v>La prime exceptionnelle de pouvoir d'achat</c:v>
                </c:pt>
              </c:strCache>
            </c:strRef>
          </c:tx>
          <c:spPr>
            <a:solidFill>
              <a:schemeClr val="accent1"/>
            </a:solidFill>
            <a:ln>
              <a:noFill/>
            </a:ln>
            <a:effectLst/>
          </c:spPr>
          <c:invertIfNegative val="0"/>
          <c:cat>
            <c:strRef>
              <c:f>'Q16_Tab 41'!$A$6:$A$22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41'!$B$6:$B$22</c:f>
              <c:numCache>
                <c:formatCode>0.0</c:formatCode>
                <c:ptCount val="17"/>
                <c:pt idx="0">
                  <c:v>17.100000000000001</c:v>
                </c:pt>
                <c:pt idx="1">
                  <c:v>35.9</c:v>
                </c:pt>
                <c:pt idx="2">
                  <c:v>45.300000000000004</c:v>
                </c:pt>
                <c:pt idx="3">
                  <c:v>0</c:v>
                </c:pt>
                <c:pt idx="4">
                  <c:v>13.200000000000001</c:v>
                </c:pt>
                <c:pt idx="5">
                  <c:v>5.8999999999999995</c:v>
                </c:pt>
                <c:pt idx="6">
                  <c:v>18.600000000000001</c:v>
                </c:pt>
                <c:pt idx="7">
                  <c:v>6.1</c:v>
                </c:pt>
                <c:pt idx="8">
                  <c:v>26.3</c:v>
                </c:pt>
                <c:pt idx="9">
                  <c:v>18.2</c:v>
                </c:pt>
                <c:pt idx="10">
                  <c:v>2.8000000000000003</c:v>
                </c:pt>
                <c:pt idx="11">
                  <c:v>5.8000000000000007</c:v>
                </c:pt>
                <c:pt idx="12">
                  <c:v>17.2</c:v>
                </c:pt>
                <c:pt idx="13">
                  <c:v>27.400000000000002</c:v>
                </c:pt>
                <c:pt idx="14">
                  <c:v>11.200000000000001</c:v>
                </c:pt>
                <c:pt idx="15">
                  <c:v>20.100000000000001</c:v>
                </c:pt>
                <c:pt idx="16">
                  <c:v>6.4</c:v>
                </c:pt>
              </c:numCache>
            </c:numRef>
          </c:val>
          <c:extLst>
            <c:ext xmlns:c16="http://schemas.microsoft.com/office/drawing/2014/chart" uri="{C3380CC4-5D6E-409C-BE32-E72D297353CC}">
              <c16:uniqueId val="{00000000-35F5-445F-8D8E-C0C3F391F665}"/>
            </c:ext>
          </c:extLst>
        </c:ser>
        <c:ser>
          <c:idx val="1"/>
          <c:order val="1"/>
          <c:tx>
            <c:strRef>
              <c:f>'Q16_Tab 41'!$C$5</c:f>
              <c:strCache>
                <c:ptCount val="1"/>
                <c:pt idx="0">
                  <c:v>L'aménagement des congés payés et les jours octroyés dans le cadre de la réduction du temps de travail</c:v>
                </c:pt>
              </c:strCache>
            </c:strRef>
          </c:tx>
          <c:spPr>
            <a:solidFill>
              <a:schemeClr val="accent2"/>
            </a:solidFill>
            <a:ln>
              <a:noFill/>
            </a:ln>
            <a:effectLst/>
          </c:spPr>
          <c:invertIfNegative val="0"/>
          <c:cat>
            <c:strRef>
              <c:f>'Q16_Tab 41'!$A$6:$A$22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41'!$C$6:$C$22</c:f>
              <c:numCache>
                <c:formatCode>0.0</c:formatCode>
                <c:ptCount val="17"/>
                <c:pt idx="0">
                  <c:v>11</c:v>
                </c:pt>
                <c:pt idx="1">
                  <c:v>6</c:v>
                </c:pt>
                <c:pt idx="2">
                  <c:v>7.5</c:v>
                </c:pt>
                <c:pt idx="3">
                  <c:v>0</c:v>
                </c:pt>
                <c:pt idx="4">
                  <c:v>19.8</c:v>
                </c:pt>
                <c:pt idx="5">
                  <c:v>25.2</c:v>
                </c:pt>
                <c:pt idx="6">
                  <c:v>13.600000000000001</c:v>
                </c:pt>
                <c:pt idx="7">
                  <c:v>11.700000000000001</c:v>
                </c:pt>
                <c:pt idx="8">
                  <c:v>9.8000000000000007</c:v>
                </c:pt>
                <c:pt idx="9">
                  <c:v>6.3</c:v>
                </c:pt>
                <c:pt idx="10">
                  <c:v>6.9</c:v>
                </c:pt>
                <c:pt idx="11">
                  <c:v>9.3000000000000007</c:v>
                </c:pt>
                <c:pt idx="12">
                  <c:v>21.9</c:v>
                </c:pt>
                <c:pt idx="13">
                  <c:v>16.3</c:v>
                </c:pt>
                <c:pt idx="14">
                  <c:v>12.3</c:v>
                </c:pt>
                <c:pt idx="15">
                  <c:v>7.1999999999999993</c:v>
                </c:pt>
                <c:pt idx="16">
                  <c:v>9</c:v>
                </c:pt>
              </c:numCache>
            </c:numRef>
          </c:val>
          <c:extLst>
            <c:ext xmlns:c16="http://schemas.microsoft.com/office/drawing/2014/chart" uri="{C3380CC4-5D6E-409C-BE32-E72D297353CC}">
              <c16:uniqueId val="{00000001-35F5-445F-8D8E-C0C3F391F665}"/>
            </c:ext>
          </c:extLst>
        </c:ser>
        <c:ser>
          <c:idx val="2"/>
          <c:order val="2"/>
          <c:tx>
            <c:strRef>
              <c:f>'Q16_Tab 41'!$D$5</c:f>
              <c:strCache>
                <c:ptCount val="1"/>
                <c:pt idx="0">
                  <c:v>L'augmentation de la durée du travail, hebdomadaire ou quotidienne</c:v>
                </c:pt>
              </c:strCache>
            </c:strRef>
          </c:tx>
          <c:spPr>
            <a:solidFill>
              <a:schemeClr val="accent3"/>
            </a:solidFill>
            <a:ln>
              <a:noFill/>
            </a:ln>
            <a:effectLst/>
          </c:spPr>
          <c:invertIfNegative val="0"/>
          <c:cat>
            <c:strRef>
              <c:f>'Q16_Tab 41'!$A$6:$A$22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41'!$D$6:$D$22</c:f>
              <c:numCache>
                <c:formatCode>0.0</c:formatCode>
                <c:ptCount val="17"/>
                <c:pt idx="0">
                  <c:v>1.2</c:v>
                </c:pt>
                <c:pt idx="1">
                  <c:v>0</c:v>
                </c:pt>
                <c:pt idx="2">
                  <c:v>1.9</c:v>
                </c:pt>
                <c:pt idx="3">
                  <c:v>0</c:v>
                </c:pt>
                <c:pt idx="4">
                  <c:v>0.3</c:v>
                </c:pt>
                <c:pt idx="5">
                  <c:v>0.4</c:v>
                </c:pt>
                <c:pt idx="6">
                  <c:v>1.0999999999999999</c:v>
                </c:pt>
                <c:pt idx="7">
                  <c:v>3.9</c:v>
                </c:pt>
                <c:pt idx="8">
                  <c:v>0.8</c:v>
                </c:pt>
                <c:pt idx="9">
                  <c:v>0.5</c:v>
                </c:pt>
                <c:pt idx="10">
                  <c:v>0.8</c:v>
                </c:pt>
                <c:pt idx="11">
                  <c:v>0</c:v>
                </c:pt>
                <c:pt idx="12">
                  <c:v>1.0999999999999999</c:v>
                </c:pt>
                <c:pt idx="13">
                  <c:v>0.89999999999999991</c:v>
                </c:pt>
                <c:pt idx="14">
                  <c:v>0.8</c:v>
                </c:pt>
                <c:pt idx="15">
                  <c:v>2</c:v>
                </c:pt>
                <c:pt idx="16">
                  <c:v>1.0999999999999999</c:v>
                </c:pt>
              </c:numCache>
            </c:numRef>
          </c:val>
          <c:extLst>
            <c:ext xmlns:c16="http://schemas.microsoft.com/office/drawing/2014/chart" uri="{C3380CC4-5D6E-409C-BE32-E72D297353CC}">
              <c16:uniqueId val="{00000002-35F5-445F-8D8E-C0C3F391F665}"/>
            </c:ext>
          </c:extLst>
        </c:ser>
        <c:ser>
          <c:idx val="3"/>
          <c:order val="3"/>
          <c:tx>
            <c:strRef>
              <c:f>'Q16_Tab 41'!$E$5</c:f>
              <c:strCache>
                <c:ptCount val="1"/>
                <c:pt idx="0">
                  <c:v>Les heures supplémentaires</c:v>
                </c:pt>
              </c:strCache>
            </c:strRef>
          </c:tx>
          <c:spPr>
            <a:solidFill>
              <a:schemeClr val="accent4"/>
            </a:solidFill>
            <a:ln>
              <a:noFill/>
            </a:ln>
            <a:effectLst/>
          </c:spPr>
          <c:invertIfNegative val="0"/>
          <c:cat>
            <c:strRef>
              <c:f>'Q16_Tab 41'!$A$6:$A$22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41'!$E$6:$E$22</c:f>
              <c:numCache>
                <c:formatCode>0.0</c:formatCode>
                <c:ptCount val="17"/>
                <c:pt idx="0">
                  <c:v>1.7999999999999998</c:v>
                </c:pt>
                <c:pt idx="1">
                  <c:v>0</c:v>
                </c:pt>
                <c:pt idx="2">
                  <c:v>2.2999999999999998</c:v>
                </c:pt>
                <c:pt idx="3">
                  <c:v>0</c:v>
                </c:pt>
                <c:pt idx="4">
                  <c:v>0.6</c:v>
                </c:pt>
                <c:pt idx="5">
                  <c:v>0.4</c:v>
                </c:pt>
                <c:pt idx="6">
                  <c:v>1.9</c:v>
                </c:pt>
                <c:pt idx="7">
                  <c:v>5.3</c:v>
                </c:pt>
                <c:pt idx="8">
                  <c:v>3.1</c:v>
                </c:pt>
                <c:pt idx="9">
                  <c:v>1.2</c:v>
                </c:pt>
                <c:pt idx="10">
                  <c:v>0.8</c:v>
                </c:pt>
                <c:pt idx="11">
                  <c:v>0.8</c:v>
                </c:pt>
                <c:pt idx="12">
                  <c:v>0</c:v>
                </c:pt>
                <c:pt idx="13">
                  <c:v>0</c:v>
                </c:pt>
                <c:pt idx="14">
                  <c:v>0.70000000000000007</c:v>
                </c:pt>
                <c:pt idx="15">
                  <c:v>2.4</c:v>
                </c:pt>
                <c:pt idx="16">
                  <c:v>1.9</c:v>
                </c:pt>
              </c:numCache>
            </c:numRef>
          </c:val>
          <c:extLst>
            <c:ext xmlns:c16="http://schemas.microsoft.com/office/drawing/2014/chart" uri="{C3380CC4-5D6E-409C-BE32-E72D297353CC}">
              <c16:uniqueId val="{00000003-35F5-445F-8D8E-C0C3F391F665}"/>
            </c:ext>
          </c:extLst>
        </c:ser>
        <c:ser>
          <c:idx val="4"/>
          <c:order val="4"/>
          <c:tx>
            <c:strRef>
              <c:f>'Q16_Tab 41'!$F$5</c:f>
              <c:strCache>
                <c:ptCount val="1"/>
                <c:pt idx="0">
                  <c:v>Le travail le dimanche ou les jours de repos</c:v>
                </c:pt>
              </c:strCache>
            </c:strRef>
          </c:tx>
          <c:spPr>
            <a:solidFill>
              <a:schemeClr val="accent5"/>
            </a:solidFill>
            <a:ln>
              <a:noFill/>
            </a:ln>
            <a:effectLst/>
          </c:spPr>
          <c:invertIfNegative val="0"/>
          <c:cat>
            <c:strRef>
              <c:f>'Q16_Tab 41'!$A$6:$A$22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41'!$F$6:$F$22</c:f>
              <c:numCache>
                <c:formatCode>0.0</c:formatCode>
                <c:ptCount val="17"/>
                <c:pt idx="0">
                  <c:v>0.5</c:v>
                </c:pt>
                <c:pt idx="1">
                  <c:v>0</c:v>
                </c:pt>
                <c:pt idx="2">
                  <c:v>0.4</c:v>
                </c:pt>
                <c:pt idx="3">
                  <c:v>0</c:v>
                </c:pt>
                <c:pt idx="4">
                  <c:v>2.1999999999999997</c:v>
                </c:pt>
                <c:pt idx="5">
                  <c:v>0</c:v>
                </c:pt>
                <c:pt idx="6">
                  <c:v>0.5</c:v>
                </c:pt>
                <c:pt idx="7">
                  <c:v>0.5</c:v>
                </c:pt>
                <c:pt idx="8">
                  <c:v>0.4</c:v>
                </c:pt>
                <c:pt idx="9">
                  <c:v>0.6</c:v>
                </c:pt>
                <c:pt idx="10">
                  <c:v>0</c:v>
                </c:pt>
                <c:pt idx="11">
                  <c:v>0</c:v>
                </c:pt>
                <c:pt idx="12">
                  <c:v>0</c:v>
                </c:pt>
                <c:pt idx="13">
                  <c:v>0</c:v>
                </c:pt>
                <c:pt idx="14">
                  <c:v>0.6</c:v>
                </c:pt>
                <c:pt idx="15">
                  <c:v>0.6</c:v>
                </c:pt>
                <c:pt idx="16">
                  <c:v>0</c:v>
                </c:pt>
              </c:numCache>
            </c:numRef>
          </c:val>
          <c:extLst>
            <c:ext xmlns:c16="http://schemas.microsoft.com/office/drawing/2014/chart" uri="{C3380CC4-5D6E-409C-BE32-E72D297353CC}">
              <c16:uniqueId val="{00000004-35F5-445F-8D8E-C0C3F391F665}"/>
            </c:ext>
          </c:extLst>
        </c:ser>
        <c:ser>
          <c:idx val="5"/>
          <c:order val="5"/>
          <c:tx>
            <c:strRef>
              <c:f>'Q16_Tab 41'!$G$5</c:f>
              <c:strCache>
                <c:ptCount val="1"/>
                <c:pt idx="0">
                  <c:v>L'activité partielle</c:v>
                </c:pt>
              </c:strCache>
            </c:strRef>
          </c:tx>
          <c:spPr>
            <a:solidFill>
              <a:schemeClr val="accent6"/>
            </a:solidFill>
            <a:ln>
              <a:noFill/>
            </a:ln>
            <a:effectLst/>
          </c:spPr>
          <c:invertIfNegative val="0"/>
          <c:cat>
            <c:strRef>
              <c:f>'Q16_Tab 41'!$A$6:$A$22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41'!$G$6:$G$22</c:f>
              <c:numCache>
                <c:formatCode>0.0</c:formatCode>
                <c:ptCount val="17"/>
                <c:pt idx="0">
                  <c:v>16.2</c:v>
                </c:pt>
                <c:pt idx="1">
                  <c:v>6.3</c:v>
                </c:pt>
                <c:pt idx="2">
                  <c:v>13.900000000000002</c:v>
                </c:pt>
                <c:pt idx="3">
                  <c:v>0</c:v>
                </c:pt>
                <c:pt idx="4">
                  <c:v>20</c:v>
                </c:pt>
                <c:pt idx="5">
                  <c:v>55.300000000000004</c:v>
                </c:pt>
                <c:pt idx="6">
                  <c:v>18.8</c:v>
                </c:pt>
                <c:pt idx="7">
                  <c:v>19.900000000000002</c:v>
                </c:pt>
                <c:pt idx="8">
                  <c:v>14.399999999999999</c:v>
                </c:pt>
                <c:pt idx="9">
                  <c:v>11.1</c:v>
                </c:pt>
                <c:pt idx="10">
                  <c:v>17.100000000000001</c:v>
                </c:pt>
                <c:pt idx="11">
                  <c:v>19</c:v>
                </c:pt>
                <c:pt idx="12">
                  <c:v>10.6</c:v>
                </c:pt>
                <c:pt idx="13">
                  <c:v>16.3</c:v>
                </c:pt>
                <c:pt idx="14">
                  <c:v>18.099999999999998</c:v>
                </c:pt>
                <c:pt idx="15">
                  <c:v>11.3</c:v>
                </c:pt>
                <c:pt idx="16">
                  <c:v>18.3</c:v>
                </c:pt>
              </c:numCache>
            </c:numRef>
          </c:val>
          <c:extLst>
            <c:ext xmlns:c16="http://schemas.microsoft.com/office/drawing/2014/chart" uri="{C3380CC4-5D6E-409C-BE32-E72D297353CC}">
              <c16:uniqueId val="{00000005-35F5-445F-8D8E-C0C3F391F665}"/>
            </c:ext>
          </c:extLst>
        </c:ser>
        <c:ser>
          <c:idx val="6"/>
          <c:order val="6"/>
          <c:tx>
            <c:strRef>
              <c:f>'Q16_Tab 41'!$H$5</c:f>
              <c:strCache>
                <c:ptCount val="1"/>
                <c:pt idx="0">
                  <c:v>Le télétravail</c:v>
                </c:pt>
              </c:strCache>
            </c:strRef>
          </c:tx>
          <c:spPr>
            <a:solidFill>
              <a:schemeClr val="accent1">
                <a:lumMod val="60000"/>
              </a:schemeClr>
            </a:solidFill>
            <a:ln>
              <a:noFill/>
            </a:ln>
            <a:effectLst/>
          </c:spPr>
          <c:invertIfNegative val="0"/>
          <c:cat>
            <c:strRef>
              <c:f>'Q16_Tab 41'!$A$6:$A$22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41'!$H$6:$H$22</c:f>
              <c:numCache>
                <c:formatCode>0.0</c:formatCode>
                <c:ptCount val="17"/>
                <c:pt idx="0">
                  <c:v>8.9</c:v>
                </c:pt>
                <c:pt idx="1">
                  <c:v>3.1</c:v>
                </c:pt>
                <c:pt idx="2">
                  <c:v>5.0999999999999996</c:v>
                </c:pt>
                <c:pt idx="3">
                  <c:v>0</c:v>
                </c:pt>
                <c:pt idx="4">
                  <c:v>9.5</c:v>
                </c:pt>
                <c:pt idx="5">
                  <c:v>16.2</c:v>
                </c:pt>
                <c:pt idx="6">
                  <c:v>7.1</c:v>
                </c:pt>
                <c:pt idx="7">
                  <c:v>8.2000000000000011</c:v>
                </c:pt>
                <c:pt idx="8">
                  <c:v>6.6000000000000005</c:v>
                </c:pt>
                <c:pt idx="9">
                  <c:v>4.5</c:v>
                </c:pt>
                <c:pt idx="10">
                  <c:v>2.1999999999999997</c:v>
                </c:pt>
                <c:pt idx="11">
                  <c:v>12.6</c:v>
                </c:pt>
                <c:pt idx="12">
                  <c:v>13.600000000000001</c:v>
                </c:pt>
                <c:pt idx="13">
                  <c:v>10.299999999999999</c:v>
                </c:pt>
                <c:pt idx="14">
                  <c:v>12.5</c:v>
                </c:pt>
                <c:pt idx="15">
                  <c:v>10.4</c:v>
                </c:pt>
                <c:pt idx="16">
                  <c:v>9.3000000000000007</c:v>
                </c:pt>
              </c:numCache>
            </c:numRef>
          </c:val>
          <c:extLst>
            <c:ext xmlns:c16="http://schemas.microsoft.com/office/drawing/2014/chart" uri="{C3380CC4-5D6E-409C-BE32-E72D297353CC}">
              <c16:uniqueId val="{00000006-35F5-445F-8D8E-C0C3F391F665}"/>
            </c:ext>
          </c:extLst>
        </c:ser>
        <c:ser>
          <c:idx val="7"/>
          <c:order val="7"/>
          <c:tx>
            <c:strRef>
              <c:f>'Q16_Tab 41'!$I$5</c:f>
              <c:strCache>
                <c:ptCount val="1"/>
                <c:pt idx="0">
                  <c:v>Aucun accord conclu sur ces sujets</c:v>
                </c:pt>
              </c:strCache>
            </c:strRef>
          </c:tx>
          <c:spPr>
            <a:solidFill>
              <a:schemeClr val="accent2">
                <a:lumMod val="60000"/>
              </a:schemeClr>
            </a:solidFill>
            <a:ln>
              <a:noFill/>
            </a:ln>
            <a:effectLst/>
          </c:spPr>
          <c:invertIfNegative val="0"/>
          <c:cat>
            <c:strRef>
              <c:f>'Q16_Tab 41'!$A$6:$A$22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41'!$I$6:$I$22</c:f>
              <c:numCache>
                <c:formatCode>0.0</c:formatCode>
                <c:ptCount val="17"/>
                <c:pt idx="0">
                  <c:v>63.1</c:v>
                </c:pt>
                <c:pt idx="1">
                  <c:v>55.400000000000006</c:v>
                </c:pt>
                <c:pt idx="2">
                  <c:v>44.6</c:v>
                </c:pt>
                <c:pt idx="3">
                  <c:v>16.8</c:v>
                </c:pt>
                <c:pt idx="4">
                  <c:v>56.899999999999991</c:v>
                </c:pt>
                <c:pt idx="5">
                  <c:v>40.1</c:v>
                </c:pt>
                <c:pt idx="6">
                  <c:v>61.3</c:v>
                </c:pt>
                <c:pt idx="7">
                  <c:v>70.099999999999994</c:v>
                </c:pt>
                <c:pt idx="8">
                  <c:v>58.599999999999994</c:v>
                </c:pt>
                <c:pt idx="9">
                  <c:v>68.5</c:v>
                </c:pt>
                <c:pt idx="10">
                  <c:v>76.900000000000006</c:v>
                </c:pt>
                <c:pt idx="11">
                  <c:v>71.2</c:v>
                </c:pt>
                <c:pt idx="12">
                  <c:v>64.900000000000006</c:v>
                </c:pt>
                <c:pt idx="13">
                  <c:v>53.300000000000004</c:v>
                </c:pt>
                <c:pt idx="14">
                  <c:v>63.5</c:v>
                </c:pt>
                <c:pt idx="15">
                  <c:v>63.7</c:v>
                </c:pt>
                <c:pt idx="16">
                  <c:v>71</c:v>
                </c:pt>
              </c:numCache>
            </c:numRef>
          </c:val>
          <c:extLst>
            <c:ext xmlns:c16="http://schemas.microsoft.com/office/drawing/2014/chart" uri="{C3380CC4-5D6E-409C-BE32-E72D297353CC}">
              <c16:uniqueId val="{00000007-35F5-445F-8D8E-C0C3F391F665}"/>
            </c:ext>
          </c:extLst>
        </c:ser>
        <c:dLbls>
          <c:showLegendKey val="0"/>
          <c:showVal val="0"/>
          <c:showCatName val="0"/>
          <c:showSerName val="0"/>
          <c:showPercent val="0"/>
          <c:showBubbleSize val="0"/>
        </c:dLbls>
        <c:gapWidth val="150"/>
        <c:overlap val="100"/>
        <c:axId val="799824200"/>
        <c:axId val="799831088"/>
      </c:barChart>
      <c:catAx>
        <c:axId val="799824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9831088"/>
        <c:crosses val="autoZero"/>
        <c:auto val="1"/>
        <c:lblAlgn val="ctr"/>
        <c:lblOffset val="100"/>
        <c:noMultiLvlLbl val="0"/>
      </c:catAx>
      <c:valAx>
        <c:axId val="7998310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98242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Différentes dispositions prises sur le temps de travail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cat>
            <c:strRef>
              <c:f>'Q17_Tab 42'!$A$5:$A$9</c:f>
              <c:strCache>
                <c:ptCount val="5"/>
                <c:pt idx="0">
                  <c:v>Aucune de ces dispositions mise en oeuvre</c:v>
                </c:pt>
                <c:pt idx="1">
                  <c:v>Prise de jours de repos à des dates imposées par l'employeur</c:v>
                </c:pt>
                <c:pt idx="2">
                  <c:v>Utilisation de jours de compte épargne temps imposée par l'employeur</c:v>
                </c:pt>
                <c:pt idx="3">
                  <c:v>Dérogation aux durées légales de travail maximales</c:v>
                </c:pt>
                <c:pt idx="4">
                  <c:v>Dérogation au repos dominical</c:v>
                </c:pt>
              </c:strCache>
            </c:strRef>
          </c:cat>
          <c:val>
            <c:numRef>
              <c:f>'Q17_Tab 42'!$B$5:$B$9</c:f>
              <c:numCache>
                <c:formatCode>0.0</c:formatCode>
                <c:ptCount val="5"/>
                <c:pt idx="0">
                  <c:v>63.1</c:v>
                </c:pt>
                <c:pt idx="1">
                  <c:v>34.5</c:v>
                </c:pt>
                <c:pt idx="2">
                  <c:v>6.1</c:v>
                </c:pt>
                <c:pt idx="3">
                  <c:v>2.7</c:v>
                </c:pt>
                <c:pt idx="4">
                  <c:v>1.5</c:v>
                </c:pt>
              </c:numCache>
            </c:numRef>
          </c:val>
          <c:extLst>
            <c:ext xmlns:c16="http://schemas.microsoft.com/office/drawing/2014/chart" uri="{C3380CC4-5D6E-409C-BE32-E72D297353CC}">
              <c16:uniqueId val="{00000000-5105-41F5-BC28-B36CB137A066}"/>
            </c:ext>
          </c:extLst>
        </c:ser>
        <c:dLbls>
          <c:showLegendKey val="0"/>
          <c:showVal val="0"/>
          <c:showCatName val="0"/>
          <c:showSerName val="0"/>
          <c:showPercent val="0"/>
          <c:showBubbleSize val="0"/>
        </c:dLbls>
        <c:gapWidth val="182"/>
        <c:axId val="687883992"/>
        <c:axId val="687878744"/>
      </c:barChart>
      <c:catAx>
        <c:axId val="687883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7878744"/>
        <c:crosses val="autoZero"/>
        <c:auto val="1"/>
        <c:lblAlgn val="ctr"/>
        <c:lblOffset val="100"/>
        <c:noMultiLvlLbl val="0"/>
      </c:catAx>
      <c:valAx>
        <c:axId val="687878744"/>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7883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rencontrées depuis le début de la crise sanitaire, au 30 juin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cat>
            <c:strRef>
              <c:f>'Q4_Tab 5'!$A$4:$A$11</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'Q4_Tab 5'!$B$4:$B$11</c:f>
              <c:numCache>
                <c:formatCode>0.0</c:formatCode>
                <c:ptCount val="8"/>
                <c:pt idx="0">
                  <c:v>34.1</c:v>
                </c:pt>
                <c:pt idx="1">
                  <c:v>30.2</c:v>
                </c:pt>
                <c:pt idx="2">
                  <c:v>31.6</c:v>
                </c:pt>
                <c:pt idx="3">
                  <c:v>14.000000000000002</c:v>
                </c:pt>
                <c:pt idx="4">
                  <c:v>7.5</c:v>
                </c:pt>
                <c:pt idx="5">
                  <c:v>15.8</c:v>
                </c:pt>
                <c:pt idx="6">
                  <c:v>21</c:v>
                </c:pt>
                <c:pt idx="7">
                  <c:v>7.0000000000000009</c:v>
                </c:pt>
              </c:numCache>
            </c:numRef>
          </c:val>
          <c:extLst>
            <c:ext xmlns:c16="http://schemas.microsoft.com/office/drawing/2014/chart" uri="{C3380CC4-5D6E-409C-BE32-E72D297353CC}">
              <c16:uniqueId val="{00000000-9342-44A0-B566-814E1D04B871}"/>
            </c:ext>
          </c:extLst>
        </c:ser>
        <c:dLbls>
          <c:showLegendKey val="0"/>
          <c:showVal val="0"/>
          <c:showCatName val="0"/>
          <c:showSerName val="0"/>
          <c:showPercent val="0"/>
          <c:showBubbleSize val="0"/>
        </c:dLbls>
        <c:gapWidth val="182"/>
        <c:axId val="558074112"/>
        <c:axId val="558078704"/>
      </c:barChart>
      <c:catAx>
        <c:axId val="558074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8704"/>
        <c:crosses val="autoZero"/>
        <c:auto val="1"/>
        <c:lblAlgn val="ctr"/>
        <c:lblOffset val="100"/>
        <c:noMultiLvlLbl val="0"/>
      </c:catAx>
      <c:valAx>
        <c:axId val="5580787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4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Différentes dispositions prises sur le temps de travail, par taille d'entreprise (en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489303169707725E-2"/>
          <c:y val="8.6181566181566194E-2"/>
          <c:w val="0.93906028704836408"/>
          <c:h val="0.70856974479021728"/>
        </c:manualLayout>
      </c:layout>
      <c:barChart>
        <c:barDir val="col"/>
        <c:grouping val="clustered"/>
        <c:varyColors val="0"/>
        <c:ser>
          <c:idx val="0"/>
          <c:order val="0"/>
          <c:tx>
            <c:strRef>
              <c:f>'Q17_Tab 43'!$B$5</c:f>
              <c:strCache>
                <c:ptCount val="1"/>
                <c:pt idx="0">
                  <c:v>Total</c:v>
                </c:pt>
              </c:strCache>
            </c:strRef>
          </c:tx>
          <c:spPr>
            <a:solidFill>
              <a:schemeClr val="accent1"/>
            </a:solidFill>
            <a:ln>
              <a:noFill/>
            </a:ln>
            <a:effectLst/>
          </c:spPr>
          <c:invertIfNegative val="0"/>
          <c:cat>
            <c:strRef>
              <c:f>'Q17_Tab 43'!$A$6:$A$10</c:f>
              <c:strCache>
                <c:ptCount val="5"/>
                <c:pt idx="0">
                  <c:v>Prise de jours de repos à des dates imposées par l'employeur</c:v>
                </c:pt>
                <c:pt idx="1">
                  <c:v>Utilisation de jours de compte épargne temps imposée par l'employeur</c:v>
                </c:pt>
                <c:pt idx="2">
                  <c:v>Dérogation aux durées légales de travail maximales</c:v>
                </c:pt>
                <c:pt idx="3">
                  <c:v>Dérogation au repos dominical</c:v>
                </c:pt>
                <c:pt idx="4">
                  <c:v>Aucune de ces dispositions mise en oeuvre</c:v>
                </c:pt>
              </c:strCache>
            </c:strRef>
          </c:cat>
          <c:val>
            <c:numRef>
              <c:f>'Q17_Tab 43'!$B$6:$B$10</c:f>
              <c:numCache>
                <c:formatCode>0.0</c:formatCode>
                <c:ptCount val="5"/>
                <c:pt idx="0">
                  <c:v>34.5</c:v>
                </c:pt>
                <c:pt idx="1">
                  <c:v>6.1</c:v>
                </c:pt>
                <c:pt idx="2">
                  <c:v>2.7</c:v>
                </c:pt>
                <c:pt idx="3">
                  <c:v>1.5</c:v>
                </c:pt>
                <c:pt idx="4">
                  <c:v>63.1</c:v>
                </c:pt>
              </c:numCache>
            </c:numRef>
          </c:val>
          <c:extLst>
            <c:ext xmlns:c16="http://schemas.microsoft.com/office/drawing/2014/chart" uri="{C3380CC4-5D6E-409C-BE32-E72D297353CC}">
              <c16:uniqueId val="{00000000-0B70-4E2E-987D-F7AD4BB80F81}"/>
            </c:ext>
          </c:extLst>
        </c:ser>
        <c:ser>
          <c:idx val="1"/>
          <c:order val="1"/>
          <c:tx>
            <c:strRef>
              <c:f>'Q17_Tab 43'!$C$5</c:f>
              <c:strCache>
                <c:ptCount val="1"/>
                <c:pt idx="0">
                  <c:v>10 - 19</c:v>
                </c:pt>
              </c:strCache>
            </c:strRef>
          </c:tx>
          <c:spPr>
            <a:solidFill>
              <a:schemeClr val="accent2"/>
            </a:solidFill>
            <a:ln>
              <a:noFill/>
            </a:ln>
            <a:effectLst/>
          </c:spPr>
          <c:invertIfNegative val="0"/>
          <c:cat>
            <c:strRef>
              <c:f>'Q17_Tab 43'!$A$6:$A$10</c:f>
              <c:strCache>
                <c:ptCount val="5"/>
                <c:pt idx="0">
                  <c:v>Prise de jours de repos à des dates imposées par l'employeur</c:v>
                </c:pt>
                <c:pt idx="1">
                  <c:v>Utilisation de jours de compte épargne temps imposée par l'employeur</c:v>
                </c:pt>
                <c:pt idx="2">
                  <c:v>Dérogation aux durées légales de travail maximales</c:v>
                </c:pt>
                <c:pt idx="3">
                  <c:v>Dérogation au repos dominical</c:v>
                </c:pt>
                <c:pt idx="4">
                  <c:v>Aucune de ces dispositions mise en oeuvre</c:v>
                </c:pt>
              </c:strCache>
            </c:strRef>
          </c:cat>
          <c:val>
            <c:numRef>
              <c:f>'Q17_Tab 43'!$C$6:$C$10</c:f>
              <c:numCache>
                <c:formatCode>0.0</c:formatCode>
                <c:ptCount val="5"/>
                <c:pt idx="0">
                  <c:v>19.900000000000002</c:v>
                </c:pt>
                <c:pt idx="1">
                  <c:v>1.5</c:v>
                </c:pt>
                <c:pt idx="2">
                  <c:v>1.3</c:v>
                </c:pt>
                <c:pt idx="3">
                  <c:v>0.8</c:v>
                </c:pt>
                <c:pt idx="4">
                  <c:v>79</c:v>
                </c:pt>
              </c:numCache>
            </c:numRef>
          </c:val>
          <c:extLst>
            <c:ext xmlns:c16="http://schemas.microsoft.com/office/drawing/2014/chart" uri="{C3380CC4-5D6E-409C-BE32-E72D297353CC}">
              <c16:uniqueId val="{00000001-0B70-4E2E-987D-F7AD4BB80F81}"/>
            </c:ext>
          </c:extLst>
        </c:ser>
        <c:ser>
          <c:idx val="2"/>
          <c:order val="2"/>
          <c:tx>
            <c:strRef>
              <c:f>'Q17_Tab 43'!$D$5</c:f>
              <c:strCache>
                <c:ptCount val="1"/>
                <c:pt idx="0">
                  <c:v>20 - 49</c:v>
                </c:pt>
              </c:strCache>
            </c:strRef>
          </c:tx>
          <c:spPr>
            <a:solidFill>
              <a:schemeClr val="accent3"/>
            </a:solidFill>
            <a:ln>
              <a:noFill/>
            </a:ln>
            <a:effectLst/>
          </c:spPr>
          <c:invertIfNegative val="0"/>
          <c:cat>
            <c:strRef>
              <c:f>'Q17_Tab 43'!$A$6:$A$10</c:f>
              <c:strCache>
                <c:ptCount val="5"/>
                <c:pt idx="0">
                  <c:v>Prise de jours de repos à des dates imposées par l'employeur</c:v>
                </c:pt>
                <c:pt idx="1">
                  <c:v>Utilisation de jours de compte épargne temps imposée par l'employeur</c:v>
                </c:pt>
                <c:pt idx="2">
                  <c:v>Dérogation aux durées légales de travail maximales</c:v>
                </c:pt>
                <c:pt idx="3">
                  <c:v>Dérogation au repos dominical</c:v>
                </c:pt>
                <c:pt idx="4">
                  <c:v>Aucune de ces dispositions mise en oeuvre</c:v>
                </c:pt>
              </c:strCache>
            </c:strRef>
          </c:cat>
          <c:val>
            <c:numRef>
              <c:f>'Q17_Tab 43'!$D$6:$D$10</c:f>
              <c:numCache>
                <c:formatCode>0.0</c:formatCode>
                <c:ptCount val="5"/>
                <c:pt idx="0">
                  <c:v>27.700000000000003</c:v>
                </c:pt>
                <c:pt idx="1">
                  <c:v>2.5</c:v>
                </c:pt>
                <c:pt idx="2">
                  <c:v>2.6</c:v>
                </c:pt>
                <c:pt idx="3">
                  <c:v>1.9</c:v>
                </c:pt>
                <c:pt idx="4">
                  <c:v>71</c:v>
                </c:pt>
              </c:numCache>
            </c:numRef>
          </c:val>
          <c:extLst>
            <c:ext xmlns:c16="http://schemas.microsoft.com/office/drawing/2014/chart" uri="{C3380CC4-5D6E-409C-BE32-E72D297353CC}">
              <c16:uniqueId val="{00000002-0B70-4E2E-987D-F7AD4BB80F81}"/>
            </c:ext>
          </c:extLst>
        </c:ser>
        <c:ser>
          <c:idx val="3"/>
          <c:order val="3"/>
          <c:tx>
            <c:strRef>
              <c:f>'Q17_Tab 43'!$E$5</c:f>
              <c:strCache>
                <c:ptCount val="1"/>
                <c:pt idx="0">
                  <c:v>50 - 99</c:v>
                </c:pt>
              </c:strCache>
            </c:strRef>
          </c:tx>
          <c:spPr>
            <a:solidFill>
              <a:schemeClr val="accent4"/>
            </a:solidFill>
            <a:ln>
              <a:noFill/>
            </a:ln>
            <a:effectLst/>
          </c:spPr>
          <c:invertIfNegative val="0"/>
          <c:cat>
            <c:strRef>
              <c:f>'Q17_Tab 43'!$A$6:$A$10</c:f>
              <c:strCache>
                <c:ptCount val="5"/>
                <c:pt idx="0">
                  <c:v>Prise de jours de repos à des dates imposées par l'employeur</c:v>
                </c:pt>
                <c:pt idx="1">
                  <c:v>Utilisation de jours de compte épargne temps imposée par l'employeur</c:v>
                </c:pt>
                <c:pt idx="2">
                  <c:v>Dérogation aux durées légales de travail maximales</c:v>
                </c:pt>
                <c:pt idx="3">
                  <c:v>Dérogation au repos dominical</c:v>
                </c:pt>
                <c:pt idx="4">
                  <c:v>Aucune de ces dispositions mise en oeuvre</c:v>
                </c:pt>
              </c:strCache>
            </c:strRef>
          </c:cat>
          <c:val>
            <c:numRef>
              <c:f>'Q17_Tab 43'!$E$6:$E$10</c:f>
              <c:numCache>
                <c:formatCode>0.0</c:formatCode>
                <c:ptCount val="5"/>
                <c:pt idx="0">
                  <c:v>28.7</c:v>
                </c:pt>
                <c:pt idx="1">
                  <c:v>2.9000000000000004</c:v>
                </c:pt>
                <c:pt idx="2">
                  <c:v>3.3000000000000003</c:v>
                </c:pt>
                <c:pt idx="3">
                  <c:v>2.1999999999999997</c:v>
                </c:pt>
                <c:pt idx="4">
                  <c:v>69.599999999999994</c:v>
                </c:pt>
              </c:numCache>
            </c:numRef>
          </c:val>
          <c:extLst>
            <c:ext xmlns:c16="http://schemas.microsoft.com/office/drawing/2014/chart" uri="{C3380CC4-5D6E-409C-BE32-E72D297353CC}">
              <c16:uniqueId val="{00000003-0B70-4E2E-987D-F7AD4BB80F81}"/>
            </c:ext>
          </c:extLst>
        </c:ser>
        <c:ser>
          <c:idx val="4"/>
          <c:order val="4"/>
          <c:tx>
            <c:strRef>
              <c:f>'Q17_Tab 43'!$F$5</c:f>
              <c:strCache>
                <c:ptCount val="1"/>
                <c:pt idx="0">
                  <c:v>100 - 249</c:v>
                </c:pt>
              </c:strCache>
            </c:strRef>
          </c:tx>
          <c:spPr>
            <a:solidFill>
              <a:schemeClr val="accent5"/>
            </a:solidFill>
            <a:ln>
              <a:noFill/>
            </a:ln>
            <a:effectLst/>
          </c:spPr>
          <c:invertIfNegative val="0"/>
          <c:cat>
            <c:strRef>
              <c:f>'Q17_Tab 43'!$A$6:$A$10</c:f>
              <c:strCache>
                <c:ptCount val="5"/>
                <c:pt idx="0">
                  <c:v>Prise de jours de repos à des dates imposées par l'employeur</c:v>
                </c:pt>
                <c:pt idx="1">
                  <c:v>Utilisation de jours de compte épargne temps imposée par l'employeur</c:v>
                </c:pt>
                <c:pt idx="2">
                  <c:v>Dérogation aux durées légales de travail maximales</c:v>
                </c:pt>
                <c:pt idx="3">
                  <c:v>Dérogation au repos dominical</c:v>
                </c:pt>
                <c:pt idx="4">
                  <c:v>Aucune de ces dispositions mise en oeuvre</c:v>
                </c:pt>
              </c:strCache>
            </c:strRef>
          </c:cat>
          <c:val>
            <c:numRef>
              <c:f>'Q17_Tab 43'!$F$6:$F$10</c:f>
              <c:numCache>
                <c:formatCode>0.0</c:formatCode>
                <c:ptCount val="5"/>
                <c:pt idx="0">
                  <c:v>33.800000000000004</c:v>
                </c:pt>
                <c:pt idx="1">
                  <c:v>4.5999999999999996</c:v>
                </c:pt>
                <c:pt idx="2">
                  <c:v>3.6999999999999997</c:v>
                </c:pt>
                <c:pt idx="3">
                  <c:v>1.4000000000000001</c:v>
                </c:pt>
                <c:pt idx="4">
                  <c:v>63.1</c:v>
                </c:pt>
              </c:numCache>
            </c:numRef>
          </c:val>
          <c:extLst>
            <c:ext xmlns:c16="http://schemas.microsoft.com/office/drawing/2014/chart" uri="{C3380CC4-5D6E-409C-BE32-E72D297353CC}">
              <c16:uniqueId val="{00000004-0B70-4E2E-987D-F7AD4BB80F81}"/>
            </c:ext>
          </c:extLst>
        </c:ser>
        <c:ser>
          <c:idx val="5"/>
          <c:order val="5"/>
          <c:tx>
            <c:strRef>
              <c:f>'Q17_Tab 43'!$G$5</c:f>
              <c:strCache>
                <c:ptCount val="1"/>
                <c:pt idx="0">
                  <c:v>250 - 499</c:v>
                </c:pt>
              </c:strCache>
            </c:strRef>
          </c:tx>
          <c:spPr>
            <a:solidFill>
              <a:schemeClr val="accent6"/>
            </a:solidFill>
            <a:ln>
              <a:noFill/>
            </a:ln>
            <a:effectLst/>
          </c:spPr>
          <c:invertIfNegative val="0"/>
          <c:cat>
            <c:strRef>
              <c:f>'Q17_Tab 43'!$A$6:$A$10</c:f>
              <c:strCache>
                <c:ptCount val="5"/>
                <c:pt idx="0">
                  <c:v>Prise de jours de repos à des dates imposées par l'employeur</c:v>
                </c:pt>
                <c:pt idx="1">
                  <c:v>Utilisation de jours de compte épargne temps imposée par l'employeur</c:v>
                </c:pt>
                <c:pt idx="2">
                  <c:v>Dérogation aux durées légales de travail maximales</c:v>
                </c:pt>
                <c:pt idx="3">
                  <c:v>Dérogation au repos dominical</c:v>
                </c:pt>
                <c:pt idx="4">
                  <c:v>Aucune de ces dispositions mise en oeuvre</c:v>
                </c:pt>
              </c:strCache>
            </c:strRef>
          </c:cat>
          <c:val>
            <c:numRef>
              <c:f>'Q17_Tab 43'!$G$6:$G$10</c:f>
              <c:numCache>
                <c:formatCode>0.0</c:formatCode>
                <c:ptCount val="5"/>
                <c:pt idx="0">
                  <c:v>32.800000000000004</c:v>
                </c:pt>
                <c:pt idx="1">
                  <c:v>6</c:v>
                </c:pt>
                <c:pt idx="2">
                  <c:v>3.4000000000000004</c:v>
                </c:pt>
                <c:pt idx="3">
                  <c:v>1.3</c:v>
                </c:pt>
                <c:pt idx="4">
                  <c:v>64.3</c:v>
                </c:pt>
              </c:numCache>
            </c:numRef>
          </c:val>
          <c:extLst>
            <c:ext xmlns:c16="http://schemas.microsoft.com/office/drawing/2014/chart" uri="{C3380CC4-5D6E-409C-BE32-E72D297353CC}">
              <c16:uniqueId val="{00000005-0B70-4E2E-987D-F7AD4BB80F81}"/>
            </c:ext>
          </c:extLst>
        </c:ser>
        <c:ser>
          <c:idx val="6"/>
          <c:order val="6"/>
          <c:tx>
            <c:strRef>
              <c:f>'Q17_Tab 43'!$H$5</c:f>
              <c:strCache>
                <c:ptCount val="1"/>
                <c:pt idx="0">
                  <c:v>500 et +</c:v>
                </c:pt>
              </c:strCache>
            </c:strRef>
          </c:tx>
          <c:spPr>
            <a:solidFill>
              <a:schemeClr val="accent1">
                <a:lumMod val="60000"/>
              </a:schemeClr>
            </a:solidFill>
            <a:ln>
              <a:noFill/>
            </a:ln>
            <a:effectLst/>
          </c:spPr>
          <c:invertIfNegative val="0"/>
          <c:cat>
            <c:strRef>
              <c:f>'Q17_Tab 43'!$A$6:$A$10</c:f>
              <c:strCache>
                <c:ptCount val="5"/>
                <c:pt idx="0">
                  <c:v>Prise de jours de repos à des dates imposées par l'employeur</c:v>
                </c:pt>
                <c:pt idx="1">
                  <c:v>Utilisation de jours de compte épargne temps imposée par l'employeur</c:v>
                </c:pt>
                <c:pt idx="2">
                  <c:v>Dérogation aux durées légales de travail maximales</c:v>
                </c:pt>
                <c:pt idx="3">
                  <c:v>Dérogation au repos dominical</c:v>
                </c:pt>
                <c:pt idx="4">
                  <c:v>Aucune de ces dispositions mise en oeuvre</c:v>
                </c:pt>
              </c:strCache>
            </c:strRef>
          </c:cat>
          <c:val>
            <c:numRef>
              <c:f>'Q17_Tab 43'!$H$6:$H$10</c:f>
              <c:numCache>
                <c:formatCode>0.0</c:formatCode>
                <c:ptCount val="5"/>
                <c:pt idx="0">
                  <c:v>43.7</c:v>
                </c:pt>
                <c:pt idx="1">
                  <c:v>10.100000000000001</c:v>
                </c:pt>
                <c:pt idx="2">
                  <c:v>2.5</c:v>
                </c:pt>
                <c:pt idx="3">
                  <c:v>1.5</c:v>
                </c:pt>
                <c:pt idx="4">
                  <c:v>53.5</c:v>
                </c:pt>
              </c:numCache>
            </c:numRef>
          </c:val>
          <c:extLst>
            <c:ext xmlns:c16="http://schemas.microsoft.com/office/drawing/2014/chart" uri="{C3380CC4-5D6E-409C-BE32-E72D297353CC}">
              <c16:uniqueId val="{00000006-0B70-4E2E-987D-F7AD4BB80F81}"/>
            </c:ext>
          </c:extLst>
        </c:ser>
        <c:dLbls>
          <c:showLegendKey val="0"/>
          <c:showVal val="0"/>
          <c:showCatName val="0"/>
          <c:showSerName val="0"/>
          <c:showPercent val="0"/>
          <c:showBubbleSize val="0"/>
        </c:dLbls>
        <c:gapWidth val="219"/>
        <c:overlap val="-27"/>
        <c:axId val="808489048"/>
        <c:axId val="808490688"/>
      </c:barChart>
      <c:catAx>
        <c:axId val="808489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8490688"/>
        <c:crosses val="autoZero"/>
        <c:auto val="1"/>
        <c:lblAlgn val="ctr"/>
        <c:lblOffset val="100"/>
        <c:noMultiLvlLbl val="0"/>
      </c:catAx>
      <c:valAx>
        <c:axId val="8084906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84890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Différentes dispositions prises sur le temps de travail,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'Q17_Tab 44'!$B$5</c:f>
              <c:strCache>
                <c:ptCount val="1"/>
                <c:pt idx="0">
                  <c:v>Prise de jours de repos à des dates imposées par l'employeur</c:v>
                </c:pt>
              </c:strCache>
            </c:strRef>
          </c:tx>
          <c:spPr>
            <a:solidFill>
              <a:schemeClr val="accent1"/>
            </a:solidFill>
            <a:ln>
              <a:noFill/>
            </a:ln>
            <a:effectLst/>
          </c:spPr>
          <c:invertIfNegative val="0"/>
          <c:cat>
            <c:strRef>
              <c:f>'Q17_Tab 44'!$A$6:$A$22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44'!$B$6:$B$22</c:f>
              <c:numCache>
                <c:formatCode>0.0</c:formatCode>
                <c:ptCount val="17"/>
                <c:pt idx="0">
                  <c:v>34.5</c:v>
                </c:pt>
                <c:pt idx="1">
                  <c:v>23.799999999999997</c:v>
                </c:pt>
                <c:pt idx="2">
                  <c:v>29.9</c:v>
                </c:pt>
                <c:pt idx="3">
                  <c:v>72.2</c:v>
                </c:pt>
                <c:pt idx="4">
                  <c:v>46.7</c:v>
                </c:pt>
                <c:pt idx="5">
                  <c:v>69.3</c:v>
                </c:pt>
                <c:pt idx="6">
                  <c:v>42.8</c:v>
                </c:pt>
                <c:pt idx="7">
                  <c:v>42.4</c:v>
                </c:pt>
                <c:pt idx="8">
                  <c:v>27.400000000000002</c:v>
                </c:pt>
                <c:pt idx="9">
                  <c:v>49.8</c:v>
                </c:pt>
                <c:pt idx="10">
                  <c:v>17.100000000000001</c:v>
                </c:pt>
                <c:pt idx="11">
                  <c:v>48.6</c:v>
                </c:pt>
                <c:pt idx="12">
                  <c:v>51</c:v>
                </c:pt>
                <c:pt idx="13">
                  <c:v>36.199999999999996</c:v>
                </c:pt>
                <c:pt idx="14">
                  <c:v>32.700000000000003</c:v>
                </c:pt>
                <c:pt idx="15">
                  <c:v>20.8</c:v>
                </c:pt>
                <c:pt idx="16">
                  <c:v>23.1</c:v>
                </c:pt>
              </c:numCache>
            </c:numRef>
          </c:val>
          <c:extLst>
            <c:ext xmlns:c16="http://schemas.microsoft.com/office/drawing/2014/chart" uri="{C3380CC4-5D6E-409C-BE32-E72D297353CC}">
              <c16:uniqueId val="{00000000-DB97-4866-B3B1-B42E54862B00}"/>
            </c:ext>
          </c:extLst>
        </c:ser>
        <c:ser>
          <c:idx val="1"/>
          <c:order val="1"/>
          <c:tx>
            <c:strRef>
              <c:f>'Q17_Tab 44'!$C$5</c:f>
              <c:strCache>
                <c:ptCount val="1"/>
                <c:pt idx="0">
                  <c:v>Utilisation de jours de compte épargne temps imposée par l'employeur</c:v>
                </c:pt>
              </c:strCache>
            </c:strRef>
          </c:tx>
          <c:spPr>
            <a:solidFill>
              <a:schemeClr val="accent2"/>
            </a:solidFill>
            <a:ln>
              <a:noFill/>
            </a:ln>
            <a:effectLst/>
          </c:spPr>
          <c:invertIfNegative val="0"/>
          <c:cat>
            <c:strRef>
              <c:f>'Q17_Tab 44'!$A$6:$A$22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44'!$C$6:$C$22</c:f>
              <c:numCache>
                <c:formatCode>0.0</c:formatCode>
                <c:ptCount val="17"/>
                <c:pt idx="0">
                  <c:v>6.1</c:v>
                </c:pt>
                <c:pt idx="1">
                  <c:v>4.7</c:v>
                </c:pt>
                <c:pt idx="2">
                  <c:v>5.2</c:v>
                </c:pt>
                <c:pt idx="3">
                  <c:v>0</c:v>
                </c:pt>
                <c:pt idx="4">
                  <c:v>10.7</c:v>
                </c:pt>
                <c:pt idx="5">
                  <c:v>28.9</c:v>
                </c:pt>
                <c:pt idx="6">
                  <c:v>8.3000000000000007</c:v>
                </c:pt>
                <c:pt idx="7">
                  <c:v>6.4</c:v>
                </c:pt>
                <c:pt idx="8">
                  <c:v>5.4</c:v>
                </c:pt>
                <c:pt idx="9">
                  <c:v>8</c:v>
                </c:pt>
                <c:pt idx="10">
                  <c:v>1.3</c:v>
                </c:pt>
                <c:pt idx="11">
                  <c:v>5.0999999999999996</c:v>
                </c:pt>
                <c:pt idx="12">
                  <c:v>6.4</c:v>
                </c:pt>
                <c:pt idx="13">
                  <c:v>4</c:v>
                </c:pt>
                <c:pt idx="14">
                  <c:v>4.3999999999999995</c:v>
                </c:pt>
                <c:pt idx="15">
                  <c:v>4.3999999999999995</c:v>
                </c:pt>
                <c:pt idx="16">
                  <c:v>3.2</c:v>
                </c:pt>
              </c:numCache>
            </c:numRef>
          </c:val>
          <c:extLst>
            <c:ext xmlns:c16="http://schemas.microsoft.com/office/drawing/2014/chart" uri="{C3380CC4-5D6E-409C-BE32-E72D297353CC}">
              <c16:uniqueId val="{00000001-DB97-4866-B3B1-B42E54862B00}"/>
            </c:ext>
          </c:extLst>
        </c:ser>
        <c:ser>
          <c:idx val="2"/>
          <c:order val="2"/>
          <c:tx>
            <c:strRef>
              <c:f>'Q17_Tab 44'!$D$5</c:f>
              <c:strCache>
                <c:ptCount val="1"/>
                <c:pt idx="0">
                  <c:v>Dérogation aux durées légales de travail maximales</c:v>
                </c:pt>
              </c:strCache>
            </c:strRef>
          </c:tx>
          <c:spPr>
            <a:solidFill>
              <a:schemeClr val="accent3"/>
            </a:solidFill>
            <a:ln>
              <a:noFill/>
            </a:ln>
            <a:effectLst/>
          </c:spPr>
          <c:invertIfNegative val="0"/>
          <c:cat>
            <c:strRef>
              <c:f>'Q17_Tab 44'!$A$6:$A$22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44'!$D$6:$D$22</c:f>
              <c:numCache>
                <c:formatCode>0.0</c:formatCode>
                <c:ptCount val="17"/>
                <c:pt idx="0">
                  <c:v>2.7</c:v>
                </c:pt>
                <c:pt idx="1">
                  <c:v>0.89999999999999991</c:v>
                </c:pt>
                <c:pt idx="2">
                  <c:v>2.7</c:v>
                </c:pt>
                <c:pt idx="3">
                  <c:v>0</c:v>
                </c:pt>
                <c:pt idx="4">
                  <c:v>2.1</c:v>
                </c:pt>
                <c:pt idx="5">
                  <c:v>0.89999999999999991</c:v>
                </c:pt>
                <c:pt idx="6">
                  <c:v>2.1999999999999997</c:v>
                </c:pt>
                <c:pt idx="7">
                  <c:v>2.6</c:v>
                </c:pt>
                <c:pt idx="8">
                  <c:v>2.1999999999999997</c:v>
                </c:pt>
                <c:pt idx="9">
                  <c:v>3</c:v>
                </c:pt>
                <c:pt idx="10">
                  <c:v>0</c:v>
                </c:pt>
                <c:pt idx="11">
                  <c:v>1</c:v>
                </c:pt>
                <c:pt idx="12">
                  <c:v>0.8</c:v>
                </c:pt>
                <c:pt idx="13">
                  <c:v>1.5</c:v>
                </c:pt>
                <c:pt idx="14">
                  <c:v>2.1999999999999997</c:v>
                </c:pt>
                <c:pt idx="15">
                  <c:v>7.0000000000000009</c:v>
                </c:pt>
                <c:pt idx="16">
                  <c:v>1.6</c:v>
                </c:pt>
              </c:numCache>
            </c:numRef>
          </c:val>
          <c:extLst>
            <c:ext xmlns:c16="http://schemas.microsoft.com/office/drawing/2014/chart" uri="{C3380CC4-5D6E-409C-BE32-E72D297353CC}">
              <c16:uniqueId val="{00000002-DB97-4866-B3B1-B42E54862B00}"/>
            </c:ext>
          </c:extLst>
        </c:ser>
        <c:ser>
          <c:idx val="3"/>
          <c:order val="3"/>
          <c:tx>
            <c:strRef>
              <c:f>'Q17_Tab 44'!$E$5</c:f>
              <c:strCache>
                <c:ptCount val="1"/>
                <c:pt idx="0">
                  <c:v>Dérogation au repos dominical</c:v>
                </c:pt>
              </c:strCache>
            </c:strRef>
          </c:tx>
          <c:spPr>
            <a:solidFill>
              <a:schemeClr val="accent4"/>
            </a:solidFill>
            <a:ln>
              <a:noFill/>
            </a:ln>
            <a:effectLst/>
          </c:spPr>
          <c:invertIfNegative val="0"/>
          <c:cat>
            <c:strRef>
              <c:f>'Q17_Tab 44'!$A$6:$A$22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44'!$E$6:$E$22</c:f>
              <c:numCache>
                <c:formatCode>0.0</c:formatCode>
                <c:ptCount val="17"/>
                <c:pt idx="0">
                  <c:v>1.5</c:v>
                </c:pt>
                <c:pt idx="1">
                  <c:v>0</c:v>
                </c:pt>
                <c:pt idx="2">
                  <c:v>0.8</c:v>
                </c:pt>
                <c:pt idx="3">
                  <c:v>0</c:v>
                </c:pt>
                <c:pt idx="4">
                  <c:v>0.3</c:v>
                </c:pt>
                <c:pt idx="5">
                  <c:v>0.4</c:v>
                </c:pt>
                <c:pt idx="6">
                  <c:v>1.7000000000000002</c:v>
                </c:pt>
                <c:pt idx="7">
                  <c:v>0.70000000000000007</c:v>
                </c:pt>
                <c:pt idx="8">
                  <c:v>1.6</c:v>
                </c:pt>
                <c:pt idx="9">
                  <c:v>2.2999999999999998</c:v>
                </c:pt>
                <c:pt idx="10">
                  <c:v>0</c:v>
                </c:pt>
                <c:pt idx="11">
                  <c:v>1.0999999999999999</c:v>
                </c:pt>
                <c:pt idx="12">
                  <c:v>0.6</c:v>
                </c:pt>
                <c:pt idx="13">
                  <c:v>0</c:v>
                </c:pt>
                <c:pt idx="14">
                  <c:v>1.6</c:v>
                </c:pt>
                <c:pt idx="15">
                  <c:v>3.1</c:v>
                </c:pt>
                <c:pt idx="16">
                  <c:v>0.70000000000000007</c:v>
                </c:pt>
              </c:numCache>
            </c:numRef>
          </c:val>
          <c:extLst>
            <c:ext xmlns:c16="http://schemas.microsoft.com/office/drawing/2014/chart" uri="{C3380CC4-5D6E-409C-BE32-E72D297353CC}">
              <c16:uniqueId val="{00000003-DB97-4866-B3B1-B42E54862B00}"/>
            </c:ext>
          </c:extLst>
        </c:ser>
        <c:ser>
          <c:idx val="4"/>
          <c:order val="4"/>
          <c:tx>
            <c:strRef>
              <c:f>'Q17_Tab 44'!$F$5</c:f>
              <c:strCache>
                <c:ptCount val="1"/>
                <c:pt idx="0">
                  <c:v>Aucune de ces dispositions mise en oeuvre</c:v>
                </c:pt>
              </c:strCache>
            </c:strRef>
          </c:tx>
          <c:spPr>
            <a:solidFill>
              <a:schemeClr val="accent5"/>
            </a:solidFill>
            <a:ln>
              <a:noFill/>
            </a:ln>
            <a:effectLst/>
          </c:spPr>
          <c:invertIfNegative val="0"/>
          <c:cat>
            <c:strRef>
              <c:f>'Q17_Tab 44'!$A$6:$A$22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44'!$F$6:$F$22</c:f>
              <c:numCache>
                <c:formatCode>0.0</c:formatCode>
                <c:ptCount val="17"/>
                <c:pt idx="0">
                  <c:v>63.1</c:v>
                </c:pt>
                <c:pt idx="1">
                  <c:v>74.2</c:v>
                </c:pt>
                <c:pt idx="2">
                  <c:v>68.100000000000009</c:v>
                </c:pt>
                <c:pt idx="3">
                  <c:v>17.599999999999998</c:v>
                </c:pt>
                <c:pt idx="4">
                  <c:v>47.8</c:v>
                </c:pt>
                <c:pt idx="5">
                  <c:v>16.900000000000002</c:v>
                </c:pt>
                <c:pt idx="6">
                  <c:v>54.1</c:v>
                </c:pt>
                <c:pt idx="7">
                  <c:v>56.399999999999991</c:v>
                </c:pt>
                <c:pt idx="8">
                  <c:v>72.2</c:v>
                </c:pt>
                <c:pt idx="9">
                  <c:v>49.1</c:v>
                </c:pt>
                <c:pt idx="10">
                  <c:v>81.899999999999991</c:v>
                </c:pt>
                <c:pt idx="11">
                  <c:v>49.9</c:v>
                </c:pt>
                <c:pt idx="12">
                  <c:v>48.1</c:v>
                </c:pt>
                <c:pt idx="13">
                  <c:v>59.099999999999994</c:v>
                </c:pt>
                <c:pt idx="14">
                  <c:v>66.5</c:v>
                </c:pt>
                <c:pt idx="15">
                  <c:v>73.8</c:v>
                </c:pt>
                <c:pt idx="16">
                  <c:v>75.099999999999994</c:v>
                </c:pt>
              </c:numCache>
            </c:numRef>
          </c:val>
          <c:extLst>
            <c:ext xmlns:c16="http://schemas.microsoft.com/office/drawing/2014/chart" uri="{C3380CC4-5D6E-409C-BE32-E72D297353CC}">
              <c16:uniqueId val="{00000004-DB97-4866-B3B1-B42E54862B00}"/>
            </c:ext>
          </c:extLst>
        </c:ser>
        <c:dLbls>
          <c:showLegendKey val="0"/>
          <c:showVal val="0"/>
          <c:showCatName val="0"/>
          <c:showSerName val="0"/>
          <c:showPercent val="0"/>
          <c:showBubbleSize val="0"/>
        </c:dLbls>
        <c:gapWidth val="150"/>
        <c:overlap val="100"/>
        <c:axId val="691602152"/>
        <c:axId val="691601496"/>
      </c:barChart>
      <c:catAx>
        <c:axId val="691602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601496"/>
        <c:crosses val="autoZero"/>
        <c:auto val="1"/>
        <c:lblAlgn val="ctr"/>
        <c:lblOffset val="100"/>
        <c:noMultiLvlLbl val="0"/>
      </c:catAx>
      <c:valAx>
        <c:axId val="6916014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602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'Q18_Tab 45'!$A$5:$A$8</c:f>
              <c:strCache>
                <c:ptCount val="4"/>
                <c:pt idx="0">
                  <c:v>Cela n'a pas d'effet sur la productivité du travail ou les coûts</c:v>
                </c:pt>
                <c:pt idx="1">
                  <c:v>Cela réduit la productivité horaire du travail / augmente les coûts horaires modérément (de moins de 10 %)</c:v>
                </c:pt>
                <c:pt idx="2">
                  <c:v>Cela réduit la productivité horaire du travail / augmente les coûts horaires significativement (de 10 % ou plus)</c:v>
                </c:pt>
                <c:pt idx="3">
                  <c:v>Ne sais pas</c:v>
                </c:pt>
              </c:strCache>
            </c:strRef>
          </c:cat>
          <c:val>
            <c:numRef>
              <c:f>'Q18_Tab 45'!$B$5:$B$8</c:f>
              <c:numCache>
                <c:formatCode>0.0</c:formatCode>
                <c:ptCount val="4"/>
                <c:pt idx="0">
                  <c:v>19.100000000000001</c:v>
                </c:pt>
                <c:pt idx="1">
                  <c:v>29.599999999999998</c:v>
                </c:pt>
                <c:pt idx="2">
                  <c:v>15.5</c:v>
                </c:pt>
                <c:pt idx="3">
                  <c:v>35.9</c:v>
                </c:pt>
              </c:numCache>
            </c:numRef>
          </c:val>
          <c:extLst>
            <c:ext xmlns:c16="http://schemas.microsoft.com/office/drawing/2014/chart" uri="{C3380CC4-5D6E-409C-BE32-E72D297353CC}">
              <c16:uniqueId val="{00000000-468F-4DD8-AEF3-31E90E65CB62}"/>
            </c:ext>
          </c:extLst>
        </c:ser>
        <c:dLbls>
          <c:showLegendKey val="0"/>
          <c:showVal val="0"/>
          <c:showCatName val="0"/>
          <c:showSerName val="0"/>
          <c:showPercent val="0"/>
          <c:showBubbleSize val="0"/>
        </c:dLbls>
        <c:gapWidth val="219"/>
        <c:overlap val="-27"/>
        <c:axId val="740930888"/>
        <c:axId val="740929248"/>
      </c:barChart>
      <c:catAx>
        <c:axId val="740930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929248"/>
        <c:crosses val="autoZero"/>
        <c:auto val="1"/>
        <c:lblAlgn val="ctr"/>
        <c:lblOffset val="100"/>
        <c:noMultiLvlLbl val="0"/>
      </c:catAx>
      <c:valAx>
        <c:axId val="7409292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930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par taille</a:t>
            </a:r>
            <a:r>
              <a:rPr lang="fr-FR" baseline="0"/>
              <a:t> d'entreprise (% de salariés)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'Q18_Tab 46'!$A$5</c:f>
              <c:strCache>
                <c:ptCount val="1"/>
                <c:pt idx="0">
                  <c:v>Cela n'a pas d'effet sur la productivité du travail ou les coûts</c:v>
                </c:pt>
              </c:strCache>
            </c:strRef>
          </c:tx>
          <c:spPr>
            <a:solidFill>
              <a:schemeClr val="accent1"/>
            </a:solidFill>
            <a:ln>
              <a:noFill/>
            </a:ln>
            <a:effectLst/>
          </c:spPr>
          <c:invertIfNegative val="0"/>
          <c:cat>
            <c:strRef>
              <c:f>'Q18_Tab 46'!$B$4:$H$4</c:f>
              <c:strCache>
                <c:ptCount val="7"/>
                <c:pt idx="0">
                  <c:v>Total</c:v>
                </c:pt>
                <c:pt idx="1">
                  <c:v>10 - 19</c:v>
                </c:pt>
                <c:pt idx="2">
                  <c:v>20 - 49</c:v>
                </c:pt>
                <c:pt idx="3">
                  <c:v>50 - 99</c:v>
                </c:pt>
                <c:pt idx="4">
                  <c:v>100 - 249</c:v>
                </c:pt>
                <c:pt idx="5">
                  <c:v>250 - 499</c:v>
                </c:pt>
                <c:pt idx="6">
                  <c:v>500 et +</c:v>
                </c:pt>
              </c:strCache>
            </c:strRef>
          </c:cat>
          <c:val>
            <c:numRef>
              <c:f>'Q18_Tab 46'!$B$5:$H$5</c:f>
              <c:numCache>
                <c:formatCode>0.0</c:formatCode>
                <c:ptCount val="7"/>
                <c:pt idx="0">
                  <c:v>19.100000000000001</c:v>
                </c:pt>
                <c:pt idx="1">
                  <c:v>22.3</c:v>
                </c:pt>
                <c:pt idx="2">
                  <c:v>21.099999999999998</c:v>
                </c:pt>
                <c:pt idx="3">
                  <c:v>22.400000000000002</c:v>
                </c:pt>
                <c:pt idx="4">
                  <c:v>21.3</c:v>
                </c:pt>
                <c:pt idx="5">
                  <c:v>22.1</c:v>
                </c:pt>
                <c:pt idx="6">
                  <c:v>15</c:v>
                </c:pt>
              </c:numCache>
            </c:numRef>
          </c:val>
          <c:extLst>
            <c:ext xmlns:c16="http://schemas.microsoft.com/office/drawing/2014/chart" uri="{C3380CC4-5D6E-409C-BE32-E72D297353CC}">
              <c16:uniqueId val="{00000000-3CF4-4B4C-9F77-447043DB180E}"/>
            </c:ext>
          </c:extLst>
        </c:ser>
        <c:ser>
          <c:idx val="1"/>
          <c:order val="1"/>
          <c:tx>
            <c:strRef>
              <c:f>'Q18_Tab 46'!$A$6</c:f>
              <c:strCache>
                <c:ptCount val="1"/>
                <c:pt idx="0">
                  <c:v>Cela réduit la productivité horaire du travail / augmente les coûts horaires modérément (de moins de 10 %)</c:v>
                </c:pt>
              </c:strCache>
            </c:strRef>
          </c:tx>
          <c:spPr>
            <a:solidFill>
              <a:schemeClr val="accent2"/>
            </a:solidFill>
            <a:ln>
              <a:noFill/>
            </a:ln>
            <a:effectLst/>
          </c:spPr>
          <c:invertIfNegative val="0"/>
          <c:cat>
            <c:strRef>
              <c:f>'Q18_Tab 46'!$B$4:$H$4</c:f>
              <c:strCache>
                <c:ptCount val="7"/>
                <c:pt idx="0">
                  <c:v>Total</c:v>
                </c:pt>
                <c:pt idx="1">
                  <c:v>10 - 19</c:v>
                </c:pt>
                <c:pt idx="2">
                  <c:v>20 - 49</c:v>
                </c:pt>
                <c:pt idx="3">
                  <c:v>50 - 99</c:v>
                </c:pt>
                <c:pt idx="4">
                  <c:v>100 - 249</c:v>
                </c:pt>
                <c:pt idx="5">
                  <c:v>250 - 499</c:v>
                </c:pt>
                <c:pt idx="6">
                  <c:v>500 et +</c:v>
                </c:pt>
              </c:strCache>
            </c:strRef>
          </c:cat>
          <c:val>
            <c:numRef>
              <c:f>'Q18_Tab 46'!$B$6:$H$6</c:f>
              <c:numCache>
                <c:formatCode>0.0</c:formatCode>
                <c:ptCount val="7"/>
                <c:pt idx="0">
                  <c:v>29.599999999999998</c:v>
                </c:pt>
                <c:pt idx="1">
                  <c:v>29.2</c:v>
                </c:pt>
                <c:pt idx="2">
                  <c:v>31</c:v>
                </c:pt>
                <c:pt idx="3">
                  <c:v>32.4</c:v>
                </c:pt>
                <c:pt idx="4">
                  <c:v>30.2</c:v>
                </c:pt>
                <c:pt idx="5">
                  <c:v>28.799999999999997</c:v>
                </c:pt>
                <c:pt idx="6">
                  <c:v>28.299999999999997</c:v>
                </c:pt>
              </c:numCache>
            </c:numRef>
          </c:val>
          <c:extLst>
            <c:ext xmlns:c16="http://schemas.microsoft.com/office/drawing/2014/chart" uri="{C3380CC4-5D6E-409C-BE32-E72D297353CC}">
              <c16:uniqueId val="{00000001-3CF4-4B4C-9F77-447043DB180E}"/>
            </c:ext>
          </c:extLst>
        </c:ser>
        <c:ser>
          <c:idx val="2"/>
          <c:order val="2"/>
          <c:tx>
            <c:strRef>
              <c:f>'Q18_Tab 46'!$A$7</c:f>
              <c:strCache>
                <c:ptCount val="1"/>
                <c:pt idx="0">
                  <c:v>Cela réduit la productivité horaire du travail / augmente les coûts horaires significativement (de 10 % ou plus)</c:v>
                </c:pt>
              </c:strCache>
            </c:strRef>
          </c:tx>
          <c:spPr>
            <a:solidFill>
              <a:schemeClr val="accent3"/>
            </a:solidFill>
            <a:ln>
              <a:noFill/>
            </a:ln>
            <a:effectLst/>
          </c:spPr>
          <c:invertIfNegative val="0"/>
          <c:cat>
            <c:strRef>
              <c:f>'Q18_Tab 46'!$B$4:$H$4</c:f>
              <c:strCache>
                <c:ptCount val="7"/>
                <c:pt idx="0">
                  <c:v>Total</c:v>
                </c:pt>
                <c:pt idx="1">
                  <c:v>10 - 19</c:v>
                </c:pt>
                <c:pt idx="2">
                  <c:v>20 - 49</c:v>
                </c:pt>
                <c:pt idx="3">
                  <c:v>50 - 99</c:v>
                </c:pt>
                <c:pt idx="4">
                  <c:v>100 - 249</c:v>
                </c:pt>
                <c:pt idx="5">
                  <c:v>250 - 499</c:v>
                </c:pt>
                <c:pt idx="6">
                  <c:v>500 et +</c:v>
                </c:pt>
              </c:strCache>
            </c:strRef>
          </c:cat>
          <c:val>
            <c:numRef>
              <c:f>'Q18_Tab 46'!$B$7:$H$7</c:f>
              <c:numCache>
                <c:formatCode>0.0</c:formatCode>
                <c:ptCount val="7"/>
                <c:pt idx="0">
                  <c:v>15.5</c:v>
                </c:pt>
                <c:pt idx="1">
                  <c:v>16.2</c:v>
                </c:pt>
                <c:pt idx="2">
                  <c:v>15.4</c:v>
                </c:pt>
                <c:pt idx="3">
                  <c:v>13.100000000000001</c:v>
                </c:pt>
                <c:pt idx="4">
                  <c:v>11.799999999999999</c:v>
                </c:pt>
                <c:pt idx="5">
                  <c:v>10.9</c:v>
                </c:pt>
                <c:pt idx="6">
                  <c:v>18.3</c:v>
                </c:pt>
              </c:numCache>
            </c:numRef>
          </c:val>
          <c:extLst>
            <c:ext xmlns:c16="http://schemas.microsoft.com/office/drawing/2014/chart" uri="{C3380CC4-5D6E-409C-BE32-E72D297353CC}">
              <c16:uniqueId val="{00000002-3CF4-4B4C-9F77-447043DB180E}"/>
            </c:ext>
          </c:extLst>
        </c:ser>
        <c:ser>
          <c:idx val="3"/>
          <c:order val="3"/>
          <c:tx>
            <c:strRef>
              <c:f>'Q18_Tab 46'!$A$8</c:f>
              <c:strCache>
                <c:ptCount val="1"/>
                <c:pt idx="0">
                  <c:v>Ne sais pas</c:v>
                </c:pt>
              </c:strCache>
            </c:strRef>
          </c:tx>
          <c:spPr>
            <a:solidFill>
              <a:schemeClr val="accent4"/>
            </a:solidFill>
            <a:ln>
              <a:noFill/>
            </a:ln>
            <a:effectLst/>
          </c:spPr>
          <c:invertIfNegative val="0"/>
          <c:cat>
            <c:strRef>
              <c:f>'Q18_Tab 46'!$B$4:$H$4</c:f>
              <c:strCache>
                <c:ptCount val="7"/>
                <c:pt idx="0">
                  <c:v>Total</c:v>
                </c:pt>
                <c:pt idx="1">
                  <c:v>10 - 19</c:v>
                </c:pt>
                <c:pt idx="2">
                  <c:v>20 - 49</c:v>
                </c:pt>
                <c:pt idx="3">
                  <c:v>50 - 99</c:v>
                </c:pt>
                <c:pt idx="4">
                  <c:v>100 - 249</c:v>
                </c:pt>
                <c:pt idx="5">
                  <c:v>250 - 499</c:v>
                </c:pt>
                <c:pt idx="6">
                  <c:v>500 et +</c:v>
                </c:pt>
              </c:strCache>
            </c:strRef>
          </c:cat>
          <c:val>
            <c:numRef>
              <c:f>'Q18_Tab 46'!$B$8:$H$8</c:f>
              <c:numCache>
                <c:formatCode>0.0</c:formatCode>
                <c:ptCount val="7"/>
                <c:pt idx="0">
                  <c:v>35.9</c:v>
                </c:pt>
                <c:pt idx="1">
                  <c:v>32.4</c:v>
                </c:pt>
                <c:pt idx="2">
                  <c:v>32.5</c:v>
                </c:pt>
                <c:pt idx="3">
                  <c:v>32.1</c:v>
                </c:pt>
                <c:pt idx="4">
                  <c:v>36.6</c:v>
                </c:pt>
                <c:pt idx="5">
                  <c:v>38.299999999999997</c:v>
                </c:pt>
                <c:pt idx="6">
                  <c:v>38.4</c:v>
                </c:pt>
              </c:numCache>
            </c:numRef>
          </c:val>
          <c:extLst>
            <c:ext xmlns:c16="http://schemas.microsoft.com/office/drawing/2014/chart" uri="{C3380CC4-5D6E-409C-BE32-E72D297353CC}">
              <c16:uniqueId val="{00000003-3CF4-4B4C-9F77-447043DB180E}"/>
            </c:ext>
          </c:extLst>
        </c:ser>
        <c:dLbls>
          <c:showLegendKey val="0"/>
          <c:showVal val="0"/>
          <c:showCatName val="0"/>
          <c:showSerName val="0"/>
          <c:showPercent val="0"/>
          <c:showBubbleSize val="0"/>
        </c:dLbls>
        <c:gapWidth val="219"/>
        <c:overlap val="100"/>
        <c:axId val="665120440"/>
        <c:axId val="665158816"/>
      </c:barChart>
      <c:catAx>
        <c:axId val="66512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58816"/>
        <c:crosses val="autoZero"/>
        <c:auto val="1"/>
        <c:lblAlgn val="ctr"/>
        <c:lblOffset val="100"/>
        <c:noMultiLvlLbl val="0"/>
      </c:catAx>
      <c:valAx>
        <c:axId val="6651588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20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a:t>
            </a:r>
            <a:r>
              <a:rPr lang="fr-FR" baseline="0"/>
              <a:t> sanitaire, par secteur d'activité (% de salariés)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'Q18_Tab 47'!$B$5</c:f>
              <c:strCache>
                <c:ptCount val="1"/>
                <c:pt idx="0">
                  <c:v>Cela n'a pas d'effet sur la productivité du travail ou les coûts</c:v>
                </c:pt>
              </c:strCache>
            </c:strRef>
          </c:tx>
          <c:spPr>
            <a:solidFill>
              <a:schemeClr val="accent1"/>
            </a:solidFill>
            <a:ln>
              <a:noFill/>
            </a:ln>
            <a:effectLst/>
          </c:spPr>
          <c:invertIfNegative val="0"/>
          <c:cat>
            <c:strRef>
              <c:f>'Q18_Tab 47'!$A$6:$A$22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47'!$B$6:$B$22</c:f>
              <c:numCache>
                <c:formatCode>0.0</c:formatCode>
                <c:ptCount val="17"/>
                <c:pt idx="0">
                  <c:v>19.100000000000001</c:v>
                </c:pt>
                <c:pt idx="1">
                  <c:v>5.6000000000000005</c:v>
                </c:pt>
                <c:pt idx="2">
                  <c:v>25</c:v>
                </c:pt>
                <c:pt idx="3">
                  <c:v>0</c:v>
                </c:pt>
                <c:pt idx="4">
                  <c:v>18.399999999999999</c:v>
                </c:pt>
                <c:pt idx="5">
                  <c:v>9.8000000000000007</c:v>
                </c:pt>
                <c:pt idx="6">
                  <c:v>19.7</c:v>
                </c:pt>
                <c:pt idx="7">
                  <c:v>7.1</c:v>
                </c:pt>
                <c:pt idx="8">
                  <c:v>18</c:v>
                </c:pt>
                <c:pt idx="9">
                  <c:v>13.200000000000001</c:v>
                </c:pt>
                <c:pt idx="10">
                  <c:v>4.9000000000000004</c:v>
                </c:pt>
                <c:pt idx="11">
                  <c:v>31.4</c:v>
                </c:pt>
                <c:pt idx="12">
                  <c:v>23.7</c:v>
                </c:pt>
                <c:pt idx="13">
                  <c:v>24.2</c:v>
                </c:pt>
                <c:pt idx="14">
                  <c:v>25</c:v>
                </c:pt>
                <c:pt idx="15">
                  <c:v>21.5</c:v>
                </c:pt>
                <c:pt idx="16">
                  <c:v>24.6</c:v>
                </c:pt>
              </c:numCache>
            </c:numRef>
          </c:val>
          <c:extLst>
            <c:ext xmlns:c16="http://schemas.microsoft.com/office/drawing/2014/chart" uri="{C3380CC4-5D6E-409C-BE32-E72D297353CC}">
              <c16:uniqueId val="{00000000-1B02-4FEA-A906-D17CB697727B}"/>
            </c:ext>
          </c:extLst>
        </c:ser>
        <c:ser>
          <c:idx val="1"/>
          <c:order val="1"/>
          <c:tx>
            <c:strRef>
              <c:f>'Q18_Tab 47'!$C$5</c:f>
              <c:strCache>
                <c:ptCount val="1"/>
                <c:pt idx="0">
                  <c:v>Cela réduit la productivité horaire du travail / augmente les coûts horaires modérément (de moins de 10 %)</c:v>
                </c:pt>
              </c:strCache>
            </c:strRef>
          </c:tx>
          <c:spPr>
            <a:solidFill>
              <a:schemeClr val="accent2"/>
            </a:solidFill>
            <a:ln>
              <a:noFill/>
            </a:ln>
            <a:effectLst/>
          </c:spPr>
          <c:invertIfNegative val="0"/>
          <c:cat>
            <c:strRef>
              <c:f>'Q18_Tab 47'!$A$6:$A$22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47'!$C$6:$C$22</c:f>
              <c:numCache>
                <c:formatCode>0.0</c:formatCode>
                <c:ptCount val="17"/>
                <c:pt idx="0">
                  <c:v>29.599999999999998</c:v>
                </c:pt>
                <c:pt idx="1">
                  <c:v>43.7</c:v>
                </c:pt>
                <c:pt idx="2">
                  <c:v>39.700000000000003</c:v>
                </c:pt>
                <c:pt idx="3">
                  <c:v>82.399999999999991</c:v>
                </c:pt>
                <c:pt idx="4">
                  <c:v>35.299999999999997</c:v>
                </c:pt>
                <c:pt idx="5">
                  <c:v>25.4</c:v>
                </c:pt>
                <c:pt idx="6">
                  <c:v>38.800000000000004</c:v>
                </c:pt>
                <c:pt idx="7">
                  <c:v>37.299999999999997</c:v>
                </c:pt>
                <c:pt idx="8">
                  <c:v>31.8</c:v>
                </c:pt>
                <c:pt idx="9">
                  <c:v>26.3</c:v>
                </c:pt>
                <c:pt idx="10">
                  <c:v>24.2</c:v>
                </c:pt>
                <c:pt idx="11">
                  <c:v>15.5</c:v>
                </c:pt>
                <c:pt idx="12">
                  <c:v>33.700000000000003</c:v>
                </c:pt>
                <c:pt idx="13">
                  <c:v>26.400000000000002</c:v>
                </c:pt>
                <c:pt idx="14">
                  <c:v>26.3</c:v>
                </c:pt>
                <c:pt idx="15">
                  <c:v>25.7</c:v>
                </c:pt>
                <c:pt idx="16">
                  <c:v>22.7</c:v>
                </c:pt>
              </c:numCache>
            </c:numRef>
          </c:val>
          <c:extLst>
            <c:ext xmlns:c16="http://schemas.microsoft.com/office/drawing/2014/chart" uri="{C3380CC4-5D6E-409C-BE32-E72D297353CC}">
              <c16:uniqueId val="{00000001-1B02-4FEA-A906-D17CB697727B}"/>
            </c:ext>
          </c:extLst>
        </c:ser>
        <c:ser>
          <c:idx val="2"/>
          <c:order val="2"/>
          <c:tx>
            <c:strRef>
              <c:f>'Q18_Tab 47'!$D$5</c:f>
              <c:strCache>
                <c:ptCount val="1"/>
                <c:pt idx="0">
                  <c:v>Cela réduit la productivité horaire du travail / augmente les coûts horaires significativement (de 10 % ou plus)</c:v>
                </c:pt>
              </c:strCache>
            </c:strRef>
          </c:tx>
          <c:spPr>
            <a:solidFill>
              <a:schemeClr val="accent3"/>
            </a:solidFill>
            <a:ln>
              <a:noFill/>
            </a:ln>
            <a:effectLst/>
          </c:spPr>
          <c:invertIfNegative val="0"/>
          <c:cat>
            <c:strRef>
              <c:f>'Q18_Tab 47'!$A$6:$A$22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47'!$D$6:$D$22</c:f>
              <c:numCache>
                <c:formatCode>0.0</c:formatCode>
                <c:ptCount val="17"/>
                <c:pt idx="0">
                  <c:v>15.5</c:v>
                </c:pt>
                <c:pt idx="1">
                  <c:v>1.3</c:v>
                </c:pt>
                <c:pt idx="2">
                  <c:v>7.3</c:v>
                </c:pt>
                <c:pt idx="3">
                  <c:v>0</c:v>
                </c:pt>
                <c:pt idx="4">
                  <c:v>16.600000000000001</c:v>
                </c:pt>
                <c:pt idx="5">
                  <c:v>26.900000000000002</c:v>
                </c:pt>
                <c:pt idx="6">
                  <c:v>10.100000000000001</c:v>
                </c:pt>
                <c:pt idx="7">
                  <c:v>28.999999999999996</c:v>
                </c:pt>
                <c:pt idx="8">
                  <c:v>16.400000000000002</c:v>
                </c:pt>
                <c:pt idx="9">
                  <c:v>16.3</c:v>
                </c:pt>
                <c:pt idx="10">
                  <c:v>26.3</c:v>
                </c:pt>
                <c:pt idx="11">
                  <c:v>13.5</c:v>
                </c:pt>
                <c:pt idx="12">
                  <c:v>8.3000000000000007</c:v>
                </c:pt>
                <c:pt idx="13">
                  <c:v>4.1000000000000005</c:v>
                </c:pt>
                <c:pt idx="14">
                  <c:v>15.6</c:v>
                </c:pt>
                <c:pt idx="15">
                  <c:v>13.600000000000001</c:v>
                </c:pt>
                <c:pt idx="16">
                  <c:v>16.3</c:v>
                </c:pt>
              </c:numCache>
            </c:numRef>
          </c:val>
          <c:extLst>
            <c:ext xmlns:c16="http://schemas.microsoft.com/office/drawing/2014/chart" uri="{C3380CC4-5D6E-409C-BE32-E72D297353CC}">
              <c16:uniqueId val="{00000002-1B02-4FEA-A906-D17CB697727B}"/>
            </c:ext>
          </c:extLst>
        </c:ser>
        <c:ser>
          <c:idx val="3"/>
          <c:order val="3"/>
          <c:tx>
            <c:strRef>
              <c:f>'Q18_Tab 47'!$E$5</c:f>
              <c:strCache>
                <c:ptCount val="1"/>
                <c:pt idx="0">
                  <c:v>Ne sais pas</c:v>
                </c:pt>
              </c:strCache>
            </c:strRef>
          </c:tx>
          <c:spPr>
            <a:solidFill>
              <a:schemeClr val="accent4"/>
            </a:solidFill>
            <a:ln>
              <a:noFill/>
            </a:ln>
            <a:effectLst/>
          </c:spPr>
          <c:invertIfNegative val="0"/>
          <c:cat>
            <c:strRef>
              <c:f>'Q18_Tab 47'!$A$6:$A$22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47'!$E$6:$E$22</c:f>
              <c:numCache>
                <c:formatCode>0.0</c:formatCode>
                <c:ptCount val="17"/>
                <c:pt idx="0">
                  <c:v>35.9</c:v>
                </c:pt>
                <c:pt idx="1">
                  <c:v>49.5</c:v>
                </c:pt>
                <c:pt idx="2">
                  <c:v>28.000000000000004</c:v>
                </c:pt>
                <c:pt idx="3">
                  <c:v>0</c:v>
                </c:pt>
                <c:pt idx="4">
                  <c:v>29.7</c:v>
                </c:pt>
                <c:pt idx="5">
                  <c:v>37.9</c:v>
                </c:pt>
                <c:pt idx="6">
                  <c:v>31.3</c:v>
                </c:pt>
                <c:pt idx="7">
                  <c:v>26.5</c:v>
                </c:pt>
                <c:pt idx="8">
                  <c:v>33.700000000000003</c:v>
                </c:pt>
                <c:pt idx="9">
                  <c:v>44.3</c:v>
                </c:pt>
                <c:pt idx="10">
                  <c:v>44.6</c:v>
                </c:pt>
                <c:pt idx="11">
                  <c:v>39.6</c:v>
                </c:pt>
                <c:pt idx="12">
                  <c:v>34.4</c:v>
                </c:pt>
                <c:pt idx="13">
                  <c:v>45.300000000000004</c:v>
                </c:pt>
                <c:pt idx="14">
                  <c:v>33.1</c:v>
                </c:pt>
                <c:pt idx="15">
                  <c:v>39.200000000000003</c:v>
                </c:pt>
                <c:pt idx="16">
                  <c:v>36.299999999999997</c:v>
                </c:pt>
              </c:numCache>
            </c:numRef>
          </c:val>
          <c:extLst>
            <c:ext xmlns:c16="http://schemas.microsoft.com/office/drawing/2014/chart" uri="{C3380CC4-5D6E-409C-BE32-E72D297353CC}">
              <c16:uniqueId val="{00000003-1B02-4FEA-A906-D17CB697727B}"/>
            </c:ext>
          </c:extLst>
        </c:ser>
        <c:ser>
          <c:idx val="4"/>
          <c:order val="4"/>
          <c:tx>
            <c:strRef>
              <c:f>'Q18_Tab 47'!$F$5</c:f>
              <c:strCache>
                <c:ptCount val="1"/>
                <c:pt idx="0">
                  <c:v>nd</c:v>
                </c:pt>
              </c:strCache>
            </c:strRef>
          </c:tx>
          <c:spPr>
            <a:solidFill>
              <a:schemeClr val="accent5"/>
            </a:solidFill>
            <a:ln>
              <a:noFill/>
            </a:ln>
            <a:effectLst/>
          </c:spPr>
          <c:invertIfNegative val="0"/>
          <c:cat>
            <c:strRef>
              <c:f>'Q18_Tab 47'!$A$6:$A$22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47'!$F$6:$F$22</c:f>
              <c:numCache>
                <c:formatCode>0.0</c:formatCode>
                <c:ptCount val="17"/>
                <c:pt idx="3">
                  <c:v>17.600000000000009</c:v>
                </c:pt>
              </c:numCache>
            </c:numRef>
          </c:val>
          <c:extLst>
            <c:ext xmlns:c16="http://schemas.microsoft.com/office/drawing/2014/chart" uri="{C3380CC4-5D6E-409C-BE32-E72D297353CC}">
              <c16:uniqueId val="{00000006-1B02-4FEA-A906-D17CB697727B}"/>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Modification de l'offre en réponse à la crise sanitaire, au mois de juin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'Q19_Tab 48'!$B$4</c:f>
              <c:strCache>
                <c:ptCount val="1"/>
                <c:pt idx="0">
                  <c:v>Oui</c:v>
                </c:pt>
              </c:strCache>
            </c:strRef>
          </c:tx>
          <c:spPr>
            <a:solidFill>
              <a:schemeClr val="accent1"/>
            </a:solidFill>
            <a:ln>
              <a:noFill/>
            </a:ln>
            <a:effectLst/>
          </c:spPr>
          <c:invertIfNegative val="0"/>
          <c:cat>
            <c:strRef>
              <c:f>'Q19_Tab 48'!$A$5:$A$6</c:f>
              <c:strCache>
                <c:ptCount val="2"/>
                <c:pt idx="0">
                  <c:v>Avez-vous délaissé des produits /activités / services ?</c:v>
                </c:pt>
                <c:pt idx="1">
                  <c:v>Avez-vous proposé de nouveaux produits / activités / services ?</c:v>
                </c:pt>
              </c:strCache>
            </c:strRef>
          </c:cat>
          <c:val>
            <c:numRef>
              <c:f>'Q19_Tab 48'!$B$5:$B$6</c:f>
              <c:numCache>
                <c:formatCode>0.0</c:formatCode>
                <c:ptCount val="2"/>
                <c:pt idx="0">
                  <c:v>25.1</c:v>
                </c:pt>
                <c:pt idx="1">
                  <c:v>25.3</c:v>
                </c:pt>
              </c:numCache>
            </c:numRef>
          </c:val>
          <c:extLst>
            <c:ext xmlns:c16="http://schemas.microsoft.com/office/drawing/2014/chart" uri="{C3380CC4-5D6E-409C-BE32-E72D297353CC}">
              <c16:uniqueId val="{00000000-3971-4EBE-89B6-BCA65E8E3A56}"/>
            </c:ext>
          </c:extLst>
        </c:ser>
        <c:ser>
          <c:idx val="1"/>
          <c:order val="1"/>
          <c:tx>
            <c:strRef>
              <c:f>'Q19_Tab 48'!$C$4</c:f>
              <c:strCache>
                <c:ptCount val="1"/>
                <c:pt idx="0">
                  <c:v>Non</c:v>
                </c:pt>
              </c:strCache>
            </c:strRef>
          </c:tx>
          <c:spPr>
            <a:solidFill>
              <a:schemeClr val="accent2"/>
            </a:solidFill>
            <a:ln>
              <a:noFill/>
            </a:ln>
            <a:effectLst/>
          </c:spPr>
          <c:invertIfNegative val="0"/>
          <c:cat>
            <c:strRef>
              <c:f>'Q19_Tab 48'!$A$5:$A$6</c:f>
              <c:strCache>
                <c:ptCount val="2"/>
                <c:pt idx="0">
                  <c:v>Avez-vous délaissé des produits /activités / services ?</c:v>
                </c:pt>
                <c:pt idx="1">
                  <c:v>Avez-vous proposé de nouveaux produits / activités / services ?</c:v>
                </c:pt>
              </c:strCache>
            </c:strRef>
          </c:cat>
          <c:val>
            <c:numRef>
              <c:f>'Q19_Tab 48'!$C$5:$C$6</c:f>
              <c:numCache>
                <c:formatCode>0.0</c:formatCode>
                <c:ptCount val="2"/>
                <c:pt idx="0">
                  <c:v>74.900000000000006</c:v>
                </c:pt>
                <c:pt idx="1">
                  <c:v>74.7</c:v>
                </c:pt>
              </c:numCache>
            </c:numRef>
          </c:val>
          <c:extLst>
            <c:ext xmlns:c16="http://schemas.microsoft.com/office/drawing/2014/chart" uri="{C3380CC4-5D6E-409C-BE32-E72D297353CC}">
              <c16:uniqueId val="{00000001-3971-4EBE-89B6-BCA65E8E3A56}"/>
            </c:ext>
          </c:extLst>
        </c:ser>
        <c:dLbls>
          <c:showLegendKey val="0"/>
          <c:showVal val="0"/>
          <c:showCatName val="0"/>
          <c:showSerName val="0"/>
          <c:showPercent val="0"/>
          <c:showBubbleSize val="0"/>
        </c:dLbls>
        <c:gapWidth val="150"/>
        <c:overlap val="100"/>
        <c:axId val="691972816"/>
        <c:axId val="691970192"/>
      </c:barChart>
      <c:catAx>
        <c:axId val="69197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70192"/>
        <c:crosses val="autoZero"/>
        <c:auto val="1"/>
        <c:lblAlgn val="ctr"/>
        <c:lblOffset val="100"/>
        <c:noMultiLvlLbl val="0"/>
      </c:catAx>
      <c:valAx>
        <c:axId val="69197019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72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Réponse "Oui" à la modification de l'offre en réponse à la crise sanitaire, au mois de juin,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'Q19_Tab 49'!$A$6</c:f>
              <c:strCache>
                <c:ptCount val="1"/>
                <c:pt idx="0">
                  <c:v>Avez-vous délaissé des produits /activités / services ?</c:v>
                </c:pt>
              </c:strCache>
            </c:strRef>
          </c:tx>
          <c:spPr>
            <a:solidFill>
              <a:schemeClr val="accent1"/>
            </a:solidFill>
            <a:ln>
              <a:noFill/>
            </a:ln>
            <a:effectLst/>
          </c:spPr>
          <c:invertIfNegative val="0"/>
          <c:cat>
            <c:strRef>
              <c:f>'Q19_Tab 49'!$B$5:$H$5</c:f>
              <c:strCache>
                <c:ptCount val="7"/>
                <c:pt idx="0">
                  <c:v>Ensemble</c:v>
                </c:pt>
                <c:pt idx="1">
                  <c:v>10 - 19</c:v>
                </c:pt>
                <c:pt idx="2">
                  <c:v>20 - 49</c:v>
                </c:pt>
                <c:pt idx="3">
                  <c:v>50 - 99</c:v>
                </c:pt>
                <c:pt idx="4">
                  <c:v>100 - 249</c:v>
                </c:pt>
                <c:pt idx="5">
                  <c:v>250 - 499</c:v>
                </c:pt>
                <c:pt idx="6">
                  <c:v>500 et +</c:v>
                </c:pt>
              </c:strCache>
            </c:strRef>
          </c:cat>
          <c:val>
            <c:numRef>
              <c:f>'Q19_Tab 49'!$B$6:$H$6</c:f>
              <c:numCache>
                <c:formatCode>0.0</c:formatCode>
                <c:ptCount val="7"/>
                <c:pt idx="0">
                  <c:v>25.1</c:v>
                </c:pt>
                <c:pt idx="1">
                  <c:v>19.5</c:v>
                </c:pt>
                <c:pt idx="2">
                  <c:v>21.6</c:v>
                </c:pt>
                <c:pt idx="3">
                  <c:v>24.2</c:v>
                </c:pt>
                <c:pt idx="4">
                  <c:v>22.6</c:v>
                </c:pt>
                <c:pt idx="5">
                  <c:v>22.7</c:v>
                </c:pt>
                <c:pt idx="6">
                  <c:v>29.4</c:v>
                </c:pt>
              </c:numCache>
            </c:numRef>
          </c:val>
          <c:extLst>
            <c:ext xmlns:c16="http://schemas.microsoft.com/office/drawing/2014/chart" uri="{C3380CC4-5D6E-409C-BE32-E72D297353CC}">
              <c16:uniqueId val="{00000000-DB36-4E17-A931-2CCDC983F68B}"/>
            </c:ext>
          </c:extLst>
        </c:ser>
        <c:ser>
          <c:idx val="1"/>
          <c:order val="1"/>
          <c:tx>
            <c:strRef>
              <c:f>'Q19_Tab 49'!$A$7</c:f>
              <c:strCache>
                <c:ptCount val="1"/>
                <c:pt idx="0">
                  <c:v>Avez-vous proposé de nouveaux produits / activités / services ?</c:v>
                </c:pt>
              </c:strCache>
            </c:strRef>
          </c:tx>
          <c:spPr>
            <a:solidFill>
              <a:schemeClr val="accent2"/>
            </a:solidFill>
            <a:ln>
              <a:noFill/>
            </a:ln>
            <a:effectLst/>
          </c:spPr>
          <c:invertIfNegative val="0"/>
          <c:cat>
            <c:strRef>
              <c:f>'Q19_Tab 49'!$B$5:$H$5</c:f>
              <c:strCache>
                <c:ptCount val="7"/>
                <c:pt idx="0">
                  <c:v>Ensemble</c:v>
                </c:pt>
                <c:pt idx="1">
                  <c:v>10 - 19</c:v>
                </c:pt>
                <c:pt idx="2">
                  <c:v>20 - 49</c:v>
                </c:pt>
                <c:pt idx="3">
                  <c:v>50 - 99</c:v>
                </c:pt>
                <c:pt idx="4">
                  <c:v>100 - 249</c:v>
                </c:pt>
                <c:pt idx="5">
                  <c:v>250 - 499</c:v>
                </c:pt>
                <c:pt idx="6">
                  <c:v>500 et +</c:v>
                </c:pt>
              </c:strCache>
            </c:strRef>
          </c:cat>
          <c:val>
            <c:numRef>
              <c:f>'Q19_Tab 49'!$B$7:$H$7</c:f>
              <c:numCache>
                <c:formatCode>0.0</c:formatCode>
                <c:ptCount val="7"/>
                <c:pt idx="0">
                  <c:v>25.3</c:v>
                </c:pt>
                <c:pt idx="1">
                  <c:v>16.8</c:v>
                </c:pt>
                <c:pt idx="2">
                  <c:v>17.899999999999999</c:v>
                </c:pt>
                <c:pt idx="3">
                  <c:v>22.3</c:v>
                </c:pt>
                <c:pt idx="4">
                  <c:v>21.9</c:v>
                </c:pt>
                <c:pt idx="5">
                  <c:v>21.6</c:v>
                </c:pt>
                <c:pt idx="6">
                  <c:v>33.200000000000003</c:v>
                </c:pt>
              </c:numCache>
            </c:numRef>
          </c:val>
          <c:extLst>
            <c:ext xmlns:c16="http://schemas.microsoft.com/office/drawing/2014/chart" uri="{C3380CC4-5D6E-409C-BE32-E72D297353CC}">
              <c16:uniqueId val="{00000001-DB36-4E17-A931-2CCDC983F68B}"/>
            </c:ext>
          </c:extLst>
        </c:ser>
        <c:dLbls>
          <c:showLegendKey val="0"/>
          <c:showVal val="0"/>
          <c:showCatName val="0"/>
          <c:showSerName val="0"/>
          <c:showPercent val="0"/>
          <c:showBubbleSize val="0"/>
        </c:dLbls>
        <c:gapWidth val="219"/>
        <c:overlap val="-27"/>
        <c:axId val="740922688"/>
        <c:axId val="740919408"/>
      </c:barChart>
      <c:catAx>
        <c:axId val="74092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919408"/>
        <c:crosses val="autoZero"/>
        <c:auto val="1"/>
        <c:lblAlgn val="ctr"/>
        <c:lblOffset val="100"/>
        <c:noMultiLvlLbl val="0"/>
      </c:catAx>
      <c:valAx>
        <c:axId val="7409194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922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Réponse "Oui" à la modification de l'offre en réponse à la crise sanitaire, au mois de mai,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'Q19_Tab 50'!$B$5</c:f>
              <c:strCache>
                <c:ptCount val="1"/>
                <c:pt idx="0">
                  <c:v>Avez-vous délaissé des produits /activités / services ?</c:v>
                </c:pt>
              </c:strCache>
            </c:strRef>
          </c:tx>
          <c:spPr>
            <a:solidFill>
              <a:schemeClr val="accent1"/>
            </a:solidFill>
            <a:ln>
              <a:noFill/>
            </a:ln>
            <a:effectLst/>
          </c:spPr>
          <c:invertIfNegative val="0"/>
          <c:cat>
            <c:strRef>
              <c:f>'Q19_Tab 50'!$A$6:$A$22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50'!$B$6:$B$22</c:f>
              <c:numCache>
                <c:formatCode>0.0</c:formatCode>
                <c:ptCount val="17"/>
                <c:pt idx="0">
                  <c:v>25.1</c:v>
                </c:pt>
                <c:pt idx="1">
                  <c:v>6.9</c:v>
                </c:pt>
                <c:pt idx="2">
                  <c:v>22</c:v>
                </c:pt>
                <c:pt idx="3">
                  <c:v>0</c:v>
                </c:pt>
                <c:pt idx="4">
                  <c:v>13.600000000000001</c:v>
                </c:pt>
                <c:pt idx="5">
                  <c:v>13.900000000000002</c:v>
                </c:pt>
                <c:pt idx="6">
                  <c:v>11</c:v>
                </c:pt>
                <c:pt idx="7">
                  <c:v>6.5</c:v>
                </c:pt>
                <c:pt idx="8">
                  <c:v>25.7</c:v>
                </c:pt>
                <c:pt idx="9">
                  <c:v>27.3</c:v>
                </c:pt>
                <c:pt idx="10">
                  <c:v>60.9</c:v>
                </c:pt>
                <c:pt idx="11">
                  <c:v>33.1</c:v>
                </c:pt>
                <c:pt idx="12">
                  <c:v>17.100000000000001</c:v>
                </c:pt>
                <c:pt idx="13">
                  <c:v>17.100000000000001</c:v>
                </c:pt>
                <c:pt idx="14">
                  <c:v>24.2</c:v>
                </c:pt>
                <c:pt idx="15">
                  <c:v>33.700000000000003</c:v>
                </c:pt>
                <c:pt idx="16">
                  <c:v>43.7</c:v>
                </c:pt>
              </c:numCache>
            </c:numRef>
          </c:val>
          <c:extLst>
            <c:ext xmlns:c16="http://schemas.microsoft.com/office/drawing/2014/chart" uri="{C3380CC4-5D6E-409C-BE32-E72D297353CC}">
              <c16:uniqueId val="{00000000-FDF8-4049-BBD9-4F6314640119}"/>
            </c:ext>
          </c:extLst>
        </c:ser>
        <c:ser>
          <c:idx val="1"/>
          <c:order val="1"/>
          <c:tx>
            <c:strRef>
              <c:f>'Q19_Tab 50'!$C$5</c:f>
              <c:strCache>
                <c:ptCount val="1"/>
                <c:pt idx="0">
                  <c:v>Avez-vous proposé de nouveaux produits / activités / services ?</c:v>
                </c:pt>
              </c:strCache>
            </c:strRef>
          </c:tx>
          <c:spPr>
            <a:solidFill>
              <a:schemeClr val="accent2"/>
            </a:solidFill>
            <a:ln>
              <a:noFill/>
            </a:ln>
            <a:effectLst/>
          </c:spPr>
          <c:invertIfNegative val="0"/>
          <c:cat>
            <c:strRef>
              <c:f>'Q19_Tab 50'!$A$6:$A$22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50'!$C$6:$C$22</c:f>
              <c:numCache>
                <c:formatCode>0.0</c:formatCode>
                <c:ptCount val="17"/>
                <c:pt idx="0">
                  <c:v>25.3</c:v>
                </c:pt>
                <c:pt idx="1">
                  <c:v>6.9</c:v>
                </c:pt>
                <c:pt idx="2">
                  <c:v>10.4</c:v>
                </c:pt>
                <c:pt idx="3">
                  <c:v>0</c:v>
                </c:pt>
                <c:pt idx="4">
                  <c:v>11.700000000000001</c:v>
                </c:pt>
                <c:pt idx="5">
                  <c:v>18</c:v>
                </c:pt>
                <c:pt idx="6">
                  <c:v>18.3</c:v>
                </c:pt>
                <c:pt idx="7">
                  <c:v>6.8000000000000007</c:v>
                </c:pt>
                <c:pt idx="8">
                  <c:v>33.6</c:v>
                </c:pt>
                <c:pt idx="9">
                  <c:v>18</c:v>
                </c:pt>
                <c:pt idx="10">
                  <c:v>35.699999999999996</c:v>
                </c:pt>
                <c:pt idx="11">
                  <c:v>39.1</c:v>
                </c:pt>
                <c:pt idx="12">
                  <c:v>35.799999999999997</c:v>
                </c:pt>
                <c:pt idx="13">
                  <c:v>25.2</c:v>
                </c:pt>
                <c:pt idx="14">
                  <c:v>31.900000000000002</c:v>
                </c:pt>
                <c:pt idx="15">
                  <c:v>23.1</c:v>
                </c:pt>
                <c:pt idx="16">
                  <c:v>25.5</c:v>
                </c:pt>
              </c:numCache>
            </c:numRef>
          </c:val>
          <c:extLst>
            <c:ext xmlns:c16="http://schemas.microsoft.com/office/drawing/2014/chart" uri="{C3380CC4-5D6E-409C-BE32-E72D297353CC}">
              <c16:uniqueId val="{00000001-FDF8-4049-BBD9-4F6314640119}"/>
            </c:ext>
          </c:extLst>
        </c:ser>
        <c:dLbls>
          <c:showLegendKey val="0"/>
          <c:showVal val="0"/>
          <c:showCatName val="0"/>
          <c:showSerName val="0"/>
          <c:showPercent val="0"/>
          <c:showBubbleSize val="0"/>
        </c:dLbls>
        <c:gapWidth val="182"/>
        <c:axId val="691988560"/>
        <c:axId val="691995120"/>
      </c:barChart>
      <c:catAx>
        <c:axId val="6919885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95120"/>
        <c:crosses val="autoZero"/>
        <c:auto val="1"/>
        <c:lblAlgn val="ctr"/>
        <c:lblOffset val="100"/>
        <c:noMultiLvlLbl val="0"/>
      </c:catAx>
      <c:valAx>
        <c:axId val="691995120"/>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8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Adaptation de la logistique commerciale en réponse à la crise sanitaire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DC8-4401-AC73-A22E7389E2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DC8-4401-AC73-A22E7389E2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DC8-4401-AC73-A22E7389E237}"/>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'Q20_Tab 51'!$A$6:$A$8</c:f>
              <c:strCache>
                <c:ptCount val="3"/>
                <c:pt idx="0">
                  <c:v>Oui</c:v>
                </c:pt>
                <c:pt idx="1">
                  <c:v>Non</c:v>
                </c:pt>
                <c:pt idx="2">
                  <c:v>Non concerné</c:v>
                </c:pt>
              </c:strCache>
            </c:strRef>
          </c:cat>
          <c:val>
            <c:numRef>
              <c:f>'Q20_Tab 51'!$B$6:$B$8</c:f>
              <c:numCache>
                <c:formatCode>0.0</c:formatCode>
                <c:ptCount val="3"/>
                <c:pt idx="0">
                  <c:v>25.5</c:v>
                </c:pt>
                <c:pt idx="1">
                  <c:v>25.3</c:v>
                </c:pt>
                <c:pt idx="2">
                  <c:v>49.3</c:v>
                </c:pt>
              </c:numCache>
            </c:numRef>
          </c:val>
          <c:extLst>
            <c:ext xmlns:c16="http://schemas.microsoft.com/office/drawing/2014/chart" uri="{C3380CC4-5D6E-409C-BE32-E72D297353CC}">
              <c16:uniqueId val="{00000006-ADC8-4401-AC73-A22E7389E237}"/>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Adaptation de la logistique commerciale en réponse à la crise sanitaire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'Q20_Tab 52'!$A$6</c:f>
              <c:strCache>
                <c:ptCount val="1"/>
                <c:pt idx="0">
                  <c:v>Oui</c:v>
                </c:pt>
              </c:strCache>
            </c:strRef>
          </c:tx>
          <c:spPr>
            <a:solidFill>
              <a:schemeClr val="accent1"/>
            </a:solidFill>
            <a:ln>
              <a:noFill/>
            </a:ln>
            <a:effectLst/>
          </c:spPr>
          <c:invertIfNegative val="0"/>
          <c:cat>
            <c:strRef>
              <c:f>'Q20_Tab 52'!$B$5:$H$5</c:f>
              <c:strCache>
                <c:ptCount val="7"/>
                <c:pt idx="0">
                  <c:v>Ensemble</c:v>
                </c:pt>
                <c:pt idx="1">
                  <c:v>10 - 19</c:v>
                </c:pt>
                <c:pt idx="2">
                  <c:v>20 - 49</c:v>
                </c:pt>
                <c:pt idx="3">
                  <c:v>50 - 99</c:v>
                </c:pt>
                <c:pt idx="4">
                  <c:v>100 - 249</c:v>
                </c:pt>
                <c:pt idx="5">
                  <c:v>250 - 499</c:v>
                </c:pt>
                <c:pt idx="6">
                  <c:v>500 et +</c:v>
                </c:pt>
              </c:strCache>
            </c:strRef>
          </c:cat>
          <c:val>
            <c:numRef>
              <c:f>'Q20_Tab 52'!$B$6:$H$6</c:f>
              <c:numCache>
                <c:formatCode>0.0</c:formatCode>
                <c:ptCount val="7"/>
                <c:pt idx="0">
                  <c:v>25.5</c:v>
                </c:pt>
                <c:pt idx="1">
                  <c:v>18.600000000000001</c:v>
                </c:pt>
                <c:pt idx="2">
                  <c:v>19.8</c:v>
                </c:pt>
                <c:pt idx="3">
                  <c:v>22.5</c:v>
                </c:pt>
                <c:pt idx="4">
                  <c:v>19.3</c:v>
                </c:pt>
                <c:pt idx="5">
                  <c:v>22.2</c:v>
                </c:pt>
                <c:pt idx="6">
                  <c:v>33.300000000000004</c:v>
                </c:pt>
              </c:numCache>
            </c:numRef>
          </c:val>
          <c:extLst>
            <c:ext xmlns:c16="http://schemas.microsoft.com/office/drawing/2014/chart" uri="{C3380CC4-5D6E-409C-BE32-E72D297353CC}">
              <c16:uniqueId val="{00000000-5FB8-4330-8A56-73817ED57F8B}"/>
            </c:ext>
          </c:extLst>
        </c:ser>
        <c:ser>
          <c:idx val="1"/>
          <c:order val="1"/>
          <c:tx>
            <c:strRef>
              <c:f>'Q20_Tab 52'!$A$7</c:f>
              <c:strCache>
                <c:ptCount val="1"/>
                <c:pt idx="0">
                  <c:v>Non</c:v>
                </c:pt>
              </c:strCache>
            </c:strRef>
          </c:tx>
          <c:spPr>
            <a:solidFill>
              <a:schemeClr val="accent2"/>
            </a:solidFill>
            <a:ln>
              <a:noFill/>
            </a:ln>
            <a:effectLst/>
          </c:spPr>
          <c:invertIfNegative val="0"/>
          <c:cat>
            <c:strRef>
              <c:f>'Q20_Tab 52'!$B$5:$H$5</c:f>
              <c:strCache>
                <c:ptCount val="7"/>
                <c:pt idx="0">
                  <c:v>Ensemble</c:v>
                </c:pt>
                <c:pt idx="1">
                  <c:v>10 - 19</c:v>
                </c:pt>
                <c:pt idx="2">
                  <c:v>20 - 49</c:v>
                </c:pt>
                <c:pt idx="3">
                  <c:v>50 - 99</c:v>
                </c:pt>
                <c:pt idx="4">
                  <c:v>100 - 249</c:v>
                </c:pt>
                <c:pt idx="5">
                  <c:v>250 - 499</c:v>
                </c:pt>
                <c:pt idx="6">
                  <c:v>500 et +</c:v>
                </c:pt>
              </c:strCache>
            </c:strRef>
          </c:cat>
          <c:val>
            <c:numRef>
              <c:f>'Q20_Tab 52'!$B$7:$H$7</c:f>
              <c:numCache>
                <c:formatCode>0.0</c:formatCode>
                <c:ptCount val="7"/>
                <c:pt idx="0">
                  <c:v>25.3</c:v>
                </c:pt>
                <c:pt idx="1">
                  <c:v>26.200000000000003</c:v>
                </c:pt>
                <c:pt idx="2">
                  <c:v>25.4</c:v>
                </c:pt>
                <c:pt idx="3">
                  <c:v>26.5</c:v>
                </c:pt>
                <c:pt idx="4">
                  <c:v>27.700000000000003</c:v>
                </c:pt>
                <c:pt idx="5">
                  <c:v>27.6</c:v>
                </c:pt>
                <c:pt idx="6">
                  <c:v>23.200000000000003</c:v>
                </c:pt>
              </c:numCache>
            </c:numRef>
          </c:val>
          <c:extLst>
            <c:ext xmlns:c16="http://schemas.microsoft.com/office/drawing/2014/chart" uri="{C3380CC4-5D6E-409C-BE32-E72D297353CC}">
              <c16:uniqueId val="{00000001-5FB8-4330-8A56-73817ED57F8B}"/>
            </c:ext>
          </c:extLst>
        </c:ser>
        <c:ser>
          <c:idx val="2"/>
          <c:order val="2"/>
          <c:tx>
            <c:strRef>
              <c:f>'Q20_Tab 52'!$A$8</c:f>
              <c:strCache>
                <c:ptCount val="1"/>
                <c:pt idx="0">
                  <c:v>Non concerné</c:v>
                </c:pt>
              </c:strCache>
            </c:strRef>
          </c:tx>
          <c:spPr>
            <a:solidFill>
              <a:schemeClr val="accent3"/>
            </a:solidFill>
            <a:ln>
              <a:noFill/>
            </a:ln>
            <a:effectLst/>
          </c:spPr>
          <c:invertIfNegative val="0"/>
          <c:cat>
            <c:strRef>
              <c:f>'Q20_Tab 52'!$B$5:$H$5</c:f>
              <c:strCache>
                <c:ptCount val="7"/>
                <c:pt idx="0">
                  <c:v>Ensemble</c:v>
                </c:pt>
                <c:pt idx="1">
                  <c:v>10 - 19</c:v>
                </c:pt>
                <c:pt idx="2">
                  <c:v>20 - 49</c:v>
                </c:pt>
                <c:pt idx="3">
                  <c:v>50 - 99</c:v>
                </c:pt>
                <c:pt idx="4">
                  <c:v>100 - 249</c:v>
                </c:pt>
                <c:pt idx="5">
                  <c:v>250 - 499</c:v>
                </c:pt>
                <c:pt idx="6">
                  <c:v>500 et +</c:v>
                </c:pt>
              </c:strCache>
            </c:strRef>
          </c:cat>
          <c:val>
            <c:numRef>
              <c:f>'Q20_Tab 52'!$B$8:$H$8</c:f>
              <c:numCache>
                <c:formatCode>0.0</c:formatCode>
                <c:ptCount val="7"/>
                <c:pt idx="0">
                  <c:v>49.3</c:v>
                </c:pt>
                <c:pt idx="1">
                  <c:v>55.300000000000004</c:v>
                </c:pt>
                <c:pt idx="2">
                  <c:v>54.800000000000004</c:v>
                </c:pt>
                <c:pt idx="3">
                  <c:v>51</c:v>
                </c:pt>
                <c:pt idx="4">
                  <c:v>53</c:v>
                </c:pt>
                <c:pt idx="5">
                  <c:v>50.2</c:v>
                </c:pt>
                <c:pt idx="6">
                  <c:v>43.5</c:v>
                </c:pt>
              </c:numCache>
            </c:numRef>
          </c:val>
          <c:extLst>
            <c:ext xmlns:c16="http://schemas.microsoft.com/office/drawing/2014/chart" uri="{C3380CC4-5D6E-409C-BE32-E72D297353CC}">
              <c16:uniqueId val="{00000002-5FB8-4330-8A56-73817ED57F8B}"/>
            </c:ext>
          </c:extLst>
        </c:ser>
        <c:dLbls>
          <c:showLegendKey val="0"/>
          <c:showVal val="0"/>
          <c:showCatName val="0"/>
          <c:showSerName val="0"/>
          <c:showPercent val="0"/>
          <c:showBubbleSize val="0"/>
        </c:dLbls>
        <c:gapWidth val="219"/>
        <c:overlap val="-27"/>
        <c:axId val="691969864"/>
        <c:axId val="691976424"/>
      </c:barChart>
      <c:catAx>
        <c:axId val="691969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76424"/>
        <c:crosses val="autoZero"/>
        <c:auto val="1"/>
        <c:lblAlgn val="ctr"/>
        <c:lblOffset val="100"/>
        <c:noMultiLvlLbl val="0"/>
      </c:catAx>
      <c:valAx>
        <c:axId val="6919764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69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rencontrées depuis le début de la crise sanitaire, au 30</a:t>
            </a:r>
            <a:r>
              <a:rPr lang="fr-FR" baseline="0"/>
              <a:t> juin</a:t>
            </a:r>
            <a:r>
              <a:rPr lang="fr-FR"/>
              <a:t>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'Q4_Tab 6'!$B$4</c:f>
              <c:strCache>
                <c:ptCount val="1"/>
                <c:pt idx="0">
                  <c:v>Ensemble</c:v>
                </c:pt>
              </c:strCache>
            </c:strRef>
          </c:tx>
          <c:spPr>
            <a:solidFill>
              <a:schemeClr val="accent6">
                <a:lumMod val="60000"/>
                <a:lumOff val="40000"/>
              </a:schemeClr>
            </a:solidFill>
            <a:ln>
              <a:noFill/>
            </a:ln>
            <a:effectLst/>
          </c:spPr>
          <c:invertIfNegative val="0"/>
          <c:cat>
            <c:strRef>
              <c:f>'Q4_Tab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'Q4_Tab 6'!$B$5:$B$12</c:f>
              <c:numCache>
                <c:formatCode>0.0</c:formatCode>
                <c:ptCount val="8"/>
                <c:pt idx="0">
                  <c:v>34.1</c:v>
                </c:pt>
                <c:pt idx="1">
                  <c:v>30.2</c:v>
                </c:pt>
                <c:pt idx="2">
                  <c:v>31.6</c:v>
                </c:pt>
                <c:pt idx="3">
                  <c:v>14.000000000000002</c:v>
                </c:pt>
                <c:pt idx="4">
                  <c:v>7.5</c:v>
                </c:pt>
                <c:pt idx="5">
                  <c:v>15.8</c:v>
                </c:pt>
                <c:pt idx="6">
                  <c:v>21</c:v>
                </c:pt>
                <c:pt idx="7">
                  <c:v>7.0000000000000009</c:v>
                </c:pt>
              </c:numCache>
            </c:numRef>
          </c:val>
          <c:extLst>
            <c:ext xmlns:c16="http://schemas.microsoft.com/office/drawing/2014/chart" uri="{C3380CC4-5D6E-409C-BE32-E72D297353CC}">
              <c16:uniqueId val="{00000000-4E03-4CF9-A27E-1522550687BA}"/>
            </c:ext>
          </c:extLst>
        </c:ser>
        <c:ser>
          <c:idx val="1"/>
          <c:order val="1"/>
          <c:tx>
            <c:strRef>
              <c:f>'Q4_Tab 6'!$C$4</c:f>
              <c:strCache>
                <c:ptCount val="1"/>
                <c:pt idx="0">
                  <c:v>10 - 19</c:v>
                </c:pt>
              </c:strCache>
            </c:strRef>
          </c:tx>
          <c:spPr>
            <a:solidFill>
              <a:schemeClr val="accent1">
                <a:tint val="65000"/>
              </a:schemeClr>
            </a:solidFill>
            <a:ln>
              <a:noFill/>
            </a:ln>
            <a:effectLst/>
          </c:spPr>
          <c:invertIfNegative val="0"/>
          <c:cat>
            <c:strRef>
              <c:f>'Q4_Tab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'Q4_Tab 6'!$C$5:$C$12</c:f>
              <c:numCache>
                <c:formatCode>0.0</c:formatCode>
                <c:ptCount val="8"/>
                <c:pt idx="0">
                  <c:v>26.3</c:v>
                </c:pt>
                <c:pt idx="1">
                  <c:v>29.4</c:v>
                </c:pt>
                <c:pt idx="2">
                  <c:v>32.9</c:v>
                </c:pt>
                <c:pt idx="3">
                  <c:v>17.5</c:v>
                </c:pt>
                <c:pt idx="4">
                  <c:v>10.7</c:v>
                </c:pt>
                <c:pt idx="5">
                  <c:v>10.9</c:v>
                </c:pt>
                <c:pt idx="6">
                  <c:v>21</c:v>
                </c:pt>
                <c:pt idx="7">
                  <c:v>6.8000000000000007</c:v>
                </c:pt>
              </c:numCache>
            </c:numRef>
          </c:val>
          <c:extLst>
            <c:ext xmlns:c16="http://schemas.microsoft.com/office/drawing/2014/chart" uri="{C3380CC4-5D6E-409C-BE32-E72D297353CC}">
              <c16:uniqueId val="{00000001-4E03-4CF9-A27E-1522550687BA}"/>
            </c:ext>
          </c:extLst>
        </c:ser>
        <c:ser>
          <c:idx val="2"/>
          <c:order val="2"/>
          <c:tx>
            <c:strRef>
              <c:f>'Q4_Tab 6'!$D$4</c:f>
              <c:strCache>
                <c:ptCount val="1"/>
                <c:pt idx="0">
                  <c:v>20 - 49</c:v>
                </c:pt>
              </c:strCache>
            </c:strRef>
          </c:tx>
          <c:spPr>
            <a:solidFill>
              <a:schemeClr val="accent1">
                <a:tint val="83000"/>
              </a:schemeClr>
            </a:solidFill>
            <a:ln>
              <a:noFill/>
            </a:ln>
            <a:effectLst/>
          </c:spPr>
          <c:invertIfNegative val="0"/>
          <c:cat>
            <c:strRef>
              <c:f>'Q4_Tab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'Q4_Tab 6'!$D$5:$D$12</c:f>
              <c:numCache>
                <c:formatCode>0.0</c:formatCode>
                <c:ptCount val="8"/>
                <c:pt idx="0">
                  <c:v>27.800000000000004</c:v>
                </c:pt>
                <c:pt idx="1">
                  <c:v>28.4</c:v>
                </c:pt>
                <c:pt idx="2">
                  <c:v>32.200000000000003</c:v>
                </c:pt>
                <c:pt idx="3">
                  <c:v>15.299999999999999</c:v>
                </c:pt>
                <c:pt idx="4">
                  <c:v>8</c:v>
                </c:pt>
                <c:pt idx="5">
                  <c:v>13.700000000000001</c:v>
                </c:pt>
                <c:pt idx="6">
                  <c:v>22.5</c:v>
                </c:pt>
                <c:pt idx="7">
                  <c:v>7.9</c:v>
                </c:pt>
              </c:numCache>
            </c:numRef>
          </c:val>
          <c:extLst>
            <c:ext xmlns:c16="http://schemas.microsoft.com/office/drawing/2014/chart" uri="{C3380CC4-5D6E-409C-BE32-E72D297353CC}">
              <c16:uniqueId val="{00000002-4E03-4CF9-A27E-1522550687BA}"/>
            </c:ext>
          </c:extLst>
        </c:ser>
        <c:ser>
          <c:idx val="3"/>
          <c:order val="3"/>
          <c:tx>
            <c:strRef>
              <c:f>'Q4_Tab 6'!$E$4</c:f>
              <c:strCache>
                <c:ptCount val="1"/>
                <c:pt idx="0">
                  <c:v>50 - 99</c:v>
                </c:pt>
              </c:strCache>
            </c:strRef>
          </c:tx>
          <c:spPr>
            <a:solidFill>
              <a:schemeClr val="accent1"/>
            </a:solidFill>
            <a:ln>
              <a:noFill/>
            </a:ln>
            <a:effectLst/>
          </c:spPr>
          <c:invertIfNegative val="0"/>
          <c:cat>
            <c:strRef>
              <c:f>'Q4_Tab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'Q4_Tab 6'!$E$5:$E$12</c:f>
              <c:numCache>
                <c:formatCode>0.0</c:formatCode>
                <c:ptCount val="8"/>
                <c:pt idx="0">
                  <c:v>32.5</c:v>
                </c:pt>
                <c:pt idx="1">
                  <c:v>27.400000000000002</c:v>
                </c:pt>
                <c:pt idx="2">
                  <c:v>30.099999999999998</c:v>
                </c:pt>
                <c:pt idx="3">
                  <c:v>13.900000000000002</c:v>
                </c:pt>
                <c:pt idx="4">
                  <c:v>7.8</c:v>
                </c:pt>
                <c:pt idx="5">
                  <c:v>14.2</c:v>
                </c:pt>
                <c:pt idx="6">
                  <c:v>21.7</c:v>
                </c:pt>
                <c:pt idx="7">
                  <c:v>7.1</c:v>
                </c:pt>
              </c:numCache>
            </c:numRef>
          </c:val>
          <c:extLst>
            <c:ext xmlns:c16="http://schemas.microsoft.com/office/drawing/2014/chart" uri="{C3380CC4-5D6E-409C-BE32-E72D297353CC}">
              <c16:uniqueId val="{00000003-4E03-4CF9-A27E-1522550687BA}"/>
            </c:ext>
          </c:extLst>
        </c:ser>
        <c:ser>
          <c:idx val="4"/>
          <c:order val="4"/>
          <c:tx>
            <c:strRef>
              <c:f>'Q4_Tab 6'!$F$4</c:f>
              <c:strCache>
                <c:ptCount val="1"/>
                <c:pt idx="0">
                  <c:v>100 - 249</c:v>
                </c:pt>
              </c:strCache>
            </c:strRef>
          </c:tx>
          <c:spPr>
            <a:solidFill>
              <a:schemeClr val="accent1">
                <a:shade val="82000"/>
              </a:schemeClr>
            </a:solidFill>
            <a:ln>
              <a:noFill/>
            </a:ln>
            <a:effectLst/>
          </c:spPr>
          <c:invertIfNegative val="0"/>
          <c:cat>
            <c:strRef>
              <c:f>'Q4_Tab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'Q4_Tab 6'!$F$5:$F$12</c:f>
              <c:numCache>
                <c:formatCode>0.0</c:formatCode>
                <c:ptCount val="8"/>
                <c:pt idx="0">
                  <c:v>29.599999999999998</c:v>
                </c:pt>
                <c:pt idx="1">
                  <c:v>29.599999999999998</c:v>
                </c:pt>
                <c:pt idx="2">
                  <c:v>30.8</c:v>
                </c:pt>
                <c:pt idx="3">
                  <c:v>14.000000000000002</c:v>
                </c:pt>
                <c:pt idx="4">
                  <c:v>8.1</c:v>
                </c:pt>
                <c:pt idx="5">
                  <c:v>15.7</c:v>
                </c:pt>
                <c:pt idx="6">
                  <c:v>23.400000000000002</c:v>
                </c:pt>
                <c:pt idx="7">
                  <c:v>7.5</c:v>
                </c:pt>
              </c:numCache>
            </c:numRef>
          </c:val>
          <c:extLst>
            <c:ext xmlns:c16="http://schemas.microsoft.com/office/drawing/2014/chart" uri="{C3380CC4-5D6E-409C-BE32-E72D297353CC}">
              <c16:uniqueId val="{00000004-4E03-4CF9-A27E-1522550687BA}"/>
            </c:ext>
          </c:extLst>
        </c:ser>
        <c:ser>
          <c:idx val="5"/>
          <c:order val="5"/>
          <c:tx>
            <c:strRef>
              <c:f>'Q4_Tab 6'!$G$4</c:f>
              <c:strCache>
                <c:ptCount val="1"/>
                <c:pt idx="0">
                  <c:v>250 - 499</c:v>
                </c:pt>
              </c:strCache>
            </c:strRef>
          </c:tx>
          <c:spPr>
            <a:solidFill>
              <a:schemeClr val="accent1">
                <a:shade val="65000"/>
              </a:schemeClr>
            </a:solidFill>
            <a:ln>
              <a:noFill/>
            </a:ln>
            <a:effectLst/>
          </c:spPr>
          <c:invertIfNegative val="0"/>
          <c:cat>
            <c:strRef>
              <c:f>'Q4_Tab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'Q4_Tab 6'!$G$5:$G$12</c:f>
              <c:numCache>
                <c:formatCode>0.0</c:formatCode>
                <c:ptCount val="8"/>
                <c:pt idx="0">
                  <c:v>32.6</c:v>
                </c:pt>
                <c:pt idx="1">
                  <c:v>28.299999999999997</c:v>
                </c:pt>
                <c:pt idx="2">
                  <c:v>30.5</c:v>
                </c:pt>
                <c:pt idx="3">
                  <c:v>13.5</c:v>
                </c:pt>
                <c:pt idx="4">
                  <c:v>7.8</c:v>
                </c:pt>
                <c:pt idx="5">
                  <c:v>16.100000000000001</c:v>
                </c:pt>
                <c:pt idx="6">
                  <c:v>22.900000000000002</c:v>
                </c:pt>
                <c:pt idx="7">
                  <c:v>8</c:v>
                </c:pt>
              </c:numCache>
            </c:numRef>
          </c:val>
          <c:extLst>
            <c:ext xmlns:c16="http://schemas.microsoft.com/office/drawing/2014/chart" uri="{C3380CC4-5D6E-409C-BE32-E72D297353CC}">
              <c16:uniqueId val="{00000005-4E03-4CF9-A27E-1522550687BA}"/>
            </c:ext>
          </c:extLst>
        </c:ser>
        <c:ser>
          <c:idx val="6"/>
          <c:order val="6"/>
          <c:tx>
            <c:strRef>
              <c:f>'Q4_Tab 6'!$H$4</c:f>
              <c:strCache>
                <c:ptCount val="1"/>
                <c:pt idx="0">
                  <c:v>500 et +</c:v>
                </c:pt>
              </c:strCache>
            </c:strRef>
          </c:tx>
          <c:spPr>
            <a:solidFill>
              <a:schemeClr val="accent1">
                <a:shade val="47000"/>
              </a:schemeClr>
            </a:solidFill>
            <a:ln>
              <a:noFill/>
            </a:ln>
            <a:effectLst/>
          </c:spPr>
          <c:invertIfNegative val="0"/>
          <c:cat>
            <c:strRef>
              <c:f>'Q4_Tab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'Q4_Tab 6'!$H$5:$H$12</c:f>
              <c:numCache>
                <c:formatCode>0.0</c:formatCode>
                <c:ptCount val="8"/>
                <c:pt idx="0">
                  <c:v>41.099999999999994</c:v>
                </c:pt>
                <c:pt idx="1">
                  <c:v>32.4</c:v>
                </c:pt>
                <c:pt idx="2">
                  <c:v>31.8</c:v>
                </c:pt>
                <c:pt idx="3">
                  <c:v>12.7</c:v>
                </c:pt>
                <c:pt idx="4">
                  <c:v>6.1</c:v>
                </c:pt>
                <c:pt idx="5">
                  <c:v>18.5</c:v>
                </c:pt>
                <c:pt idx="6">
                  <c:v>18.899999999999999</c:v>
                </c:pt>
                <c:pt idx="7">
                  <c:v>6.3</c:v>
                </c:pt>
              </c:numCache>
            </c:numRef>
          </c:val>
          <c:extLst>
            <c:ext xmlns:c16="http://schemas.microsoft.com/office/drawing/2014/chart" uri="{C3380CC4-5D6E-409C-BE32-E72D297353CC}">
              <c16:uniqueId val="{00000006-4E03-4CF9-A27E-1522550687BA}"/>
            </c:ext>
          </c:extLst>
        </c:ser>
        <c:dLbls>
          <c:showLegendKey val="0"/>
          <c:showVal val="0"/>
          <c:showCatName val="0"/>
          <c:showSerName val="0"/>
          <c:showPercent val="0"/>
          <c:showBubbleSize val="0"/>
        </c:dLbls>
        <c:gapWidth val="219"/>
        <c:overlap val="-27"/>
        <c:axId val="551354448"/>
        <c:axId val="551360352"/>
      </c:barChart>
      <c:catAx>
        <c:axId val="55135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1360352"/>
        <c:crosses val="autoZero"/>
        <c:auto val="1"/>
        <c:lblAlgn val="ctr"/>
        <c:lblOffset val="100"/>
        <c:noMultiLvlLbl val="0"/>
      </c:catAx>
      <c:valAx>
        <c:axId val="5513603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1354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Adaptation de la logistique commerciale en réponse à la crise sanitaire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'Q20_Tab 53'!$B$5</c:f>
              <c:strCache>
                <c:ptCount val="1"/>
                <c:pt idx="0">
                  <c:v>Oui</c:v>
                </c:pt>
              </c:strCache>
            </c:strRef>
          </c:tx>
          <c:spPr>
            <a:solidFill>
              <a:schemeClr val="accent1"/>
            </a:solidFill>
            <a:ln>
              <a:noFill/>
            </a:ln>
            <a:effectLst/>
          </c:spPr>
          <c:invertIfNegative val="0"/>
          <c:cat>
            <c:strRef>
              <c:f>'Q20_Tab 53'!$A$6:$A$22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53'!$B$6:$B$22</c:f>
              <c:numCache>
                <c:formatCode>0.0</c:formatCode>
                <c:ptCount val="17"/>
                <c:pt idx="0">
                  <c:v>25.5</c:v>
                </c:pt>
                <c:pt idx="1">
                  <c:v>6.2</c:v>
                </c:pt>
                <c:pt idx="2">
                  <c:v>16.5</c:v>
                </c:pt>
                <c:pt idx="3">
                  <c:v>0</c:v>
                </c:pt>
                <c:pt idx="4">
                  <c:v>20.5</c:v>
                </c:pt>
                <c:pt idx="5">
                  <c:v>18.2</c:v>
                </c:pt>
                <c:pt idx="6">
                  <c:v>19.8</c:v>
                </c:pt>
                <c:pt idx="7">
                  <c:v>10.100000000000001</c:v>
                </c:pt>
                <c:pt idx="8">
                  <c:v>45.5</c:v>
                </c:pt>
                <c:pt idx="9">
                  <c:v>18.7</c:v>
                </c:pt>
                <c:pt idx="10">
                  <c:v>33.1</c:v>
                </c:pt>
                <c:pt idx="11">
                  <c:v>40</c:v>
                </c:pt>
                <c:pt idx="12">
                  <c:v>47.3</c:v>
                </c:pt>
                <c:pt idx="13">
                  <c:v>19.2</c:v>
                </c:pt>
                <c:pt idx="14">
                  <c:v>24</c:v>
                </c:pt>
                <c:pt idx="15">
                  <c:v>12.3</c:v>
                </c:pt>
                <c:pt idx="16">
                  <c:v>22.2</c:v>
                </c:pt>
              </c:numCache>
            </c:numRef>
          </c:val>
          <c:extLst>
            <c:ext xmlns:c16="http://schemas.microsoft.com/office/drawing/2014/chart" uri="{C3380CC4-5D6E-409C-BE32-E72D297353CC}">
              <c16:uniqueId val="{00000000-5645-4EC1-BDDC-84D5C035338A}"/>
            </c:ext>
          </c:extLst>
        </c:ser>
        <c:ser>
          <c:idx val="1"/>
          <c:order val="1"/>
          <c:tx>
            <c:strRef>
              <c:f>'Q20_Tab 53'!$C$5</c:f>
              <c:strCache>
                <c:ptCount val="1"/>
                <c:pt idx="0">
                  <c:v>Non</c:v>
                </c:pt>
              </c:strCache>
            </c:strRef>
          </c:tx>
          <c:spPr>
            <a:solidFill>
              <a:schemeClr val="accent2"/>
            </a:solidFill>
            <a:ln>
              <a:noFill/>
            </a:ln>
            <a:effectLst/>
          </c:spPr>
          <c:invertIfNegative val="0"/>
          <c:cat>
            <c:strRef>
              <c:f>'Q20_Tab 53'!$A$6:$A$22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53'!$C$6:$C$22</c:f>
              <c:numCache>
                <c:formatCode>0.0</c:formatCode>
                <c:ptCount val="17"/>
                <c:pt idx="0">
                  <c:v>25.3</c:v>
                </c:pt>
                <c:pt idx="1">
                  <c:v>10.4</c:v>
                </c:pt>
                <c:pt idx="2">
                  <c:v>47.3</c:v>
                </c:pt>
                <c:pt idx="3">
                  <c:v>72.8</c:v>
                </c:pt>
                <c:pt idx="4">
                  <c:v>35.799999999999997</c:v>
                </c:pt>
                <c:pt idx="5">
                  <c:v>34.599999999999994</c:v>
                </c:pt>
                <c:pt idx="6">
                  <c:v>39.5</c:v>
                </c:pt>
                <c:pt idx="7">
                  <c:v>26.900000000000002</c:v>
                </c:pt>
                <c:pt idx="8">
                  <c:v>32.4</c:v>
                </c:pt>
                <c:pt idx="9">
                  <c:v>27.800000000000004</c:v>
                </c:pt>
                <c:pt idx="10">
                  <c:v>19.600000000000001</c:v>
                </c:pt>
                <c:pt idx="11">
                  <c:v>19.5</c:v>
                </c:pt>
                <c:pt idx="12">
                  <c:v>24</c:v>
                </c:pt>
                <c:pt idx="13">
                  <c:v>27.900000000000002</c:v>
                </c:pt>
                <c:pt idx="14">
                  <c:v>20</c:v>
                </c:pt>
                <c:pt idx="15">
                  <c:v>14.000000000000002</c:v>
                </c:pt>
                <c:pt idx="16">
                  <c:v>11.200000000000001</c:v>
                </c:pt>
              </c:numCache>
            </c:numRef>
          </c:val>
          <c:extLst>
            <c:ext xmlns:c16="http://schemas.microsoft.com/office/drawing/2014/chart" uri="{C3380CC4-5D6E-409C-BE32-E72D297353CC}">
              <c16:uniqueId val="{00000001-5645-4EC1-BDDC-84D5C035338A}"/>
            </c:ext>
          </c:extLst>
        </c:ser>
        <c:ser>
          <c:idx val="2"/>
          <c:order val="2"/>
          <c:tx>
            <c:strRef>
              <c:f>'Q20_Tab 53'!$D$5</c:f>
              <c:strCache>
                <c:ptCount val="1"/>
                <c:pt idx="0">
                  <c:v>Non concerné</c:v>
                </c:pt>
              </c:strCache>
            </c:strRef>
          </c:tx>
          <c:spPr>
            <a:solidFill>
              <a:schemeClr val="accent3"/>
            </a:solidFill>
            <a:ln>
              <a:noFill/>
            </a:ln>
            <a:effectLst/>
          </c:spPr>
          <c:invertIfNegative val="0"/>
          <c:cat>
            <c:strRef>
              <c:f>'Q20_Tab 53'!$A$6:$A$22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53'!$D$6:$D$22</c:f>
              <c:numCache>
                <c:formatCode>0.0</c:formatCode>
                <c:ptCount val="17"/>
                <c:pt idx="0">
                  <c:v>49.3</c:v>
                </c:pt>
                <c:pt idx="1">
                  <c:v>83.399999999999991</c:v>
                </c:pt>
                <c:pt idx="2">
                  <c:v>36.199999999999996</c:v>
                </c:pt>
                <c:pt idx="3">
                  <c:v>0</c:v>
                </c:pt>
                <c:pt idx="4">
                  <c:v>43.7</c:v>
                </c:pt>
                <c:pt idx="5">
                  <c:v>47.099999999999994</c:v>
                </c:pt>
                <c:pt idx="6">
                  <c:v>40.6</c:v>
                </c:pt>
                <c:pt idx="7">
                  <c:v>63</c:v>
                </c:pt>
                <c:pt idx="8">
                  <c:v>22.1</c:v>
                </c:pt>
                <c:pt idx="9">
                  <c:v>53.5</c:v>
                </c:pt>
                <c:pt idx="10">
                  <c:v>47.3</c:v>
                </c:pt>
                <c:pt idx="11">
                  <c:v>40.5</c:v>
                </c:pt>
                <c:pt idx="12">
                  <c:v>28.7</c:v>
                </c:pt>
                <c:pt idx="13">
                  <c:v>52.900000000000006</c:v>
                </c:pt>
                <c:pt idx="14">
                  <c:v>56.000000000000007</c:v>
                </c:pt>
                <c:pt idx="15">
                  <c:v>73.7</c:v>
                </c:pt>
                <c:pt idx="16">
                  <c:v>66.600000000000009</c:v>
                </c:pt>
              </c:numCache>
            </c:numRef>
          </c:val>
          <c:extLst>
            <c:ext xmlns:c16="http://schemas.microsoft.com/office/drawing/2014/chart" uri="{C3380CC4-5D6E-409C-BE32-E72D297353CC}">
              <c16:uniqueId val="{00000002-5645-4EC1-BDDC-84D5C035338A}"/>
            </c:ext>
          </c:extLst>
        </c:ser>
        <c:ser>
          <c:idx val="3"/>
          <c:order val="3"/>
          <c:tx>
            <c:strRef>
              <c:f>'Q20_Tab 53'!$E$5</c:f>
              <c:strCache>
                <c:ptCount val="1"/>
                <c:pt idx="0">
                  <c:v>nd</c:v>
                </c:pt>
              </c:strCache>
            </c:strRef>
          </c:tx>
          <c:spPr>
            <a:solidFill>
              <a:schemeClr val="bg1">
                <a:lumMod val="75000"/>
              </a:schemeClr>
            </a:solidFill>
            <a:ln>
              <a:noFill/>
            </a:ln>
            <a:effectLst/>
          </c:spPr>
          <c:invertIfNegative val="0"/>
          <c:cat>
            <c:strRef>
              <c:f>'Q20_Tab 53'!$A$6:$A$22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53'!$E$6:$E$22</c:f>
              <c:numCache>
                <c:formatCode>0.0</c:formatCode>
                <c:ptCount val="17"/>
                <c:pt idx="3">
                  <c:v>27.200000000000003</c:v>
                </c:pt>
              </c:numCache>
            </c:numRef>
          </c:val>
          <c:extLst>
            <c:ext xmlns:c16="http://schemas.microsoft.com/office/drawing/2014/chart" uri="{C3380CC4-5D6E-409C-BE32-E72D297353CC}">
              <c16:uniqueId val="{00000000-253C-4DDD-BFEA-A7D57C7481ED}"/>
            </c:ext>
          </c:extLst>
        </c:ser>
        <c:dLbls>
          <c:showLegendKey val="0"/>
          <c:showVal val="0"/>
          <c:showCatName val="0"/>
          <c:showSerName val="0"/>
          <c:showPercent val="0"/>
          <c:showBubbleSize val="0"/>
        </c:dLbls>
        <c:gapWidth val="150"/>
        <c:overlap val="100"/>
        <c:axId val="801424288"/>
        <c:axId val="801429208"/>
      </c:barChart>
      <c:catAx>
        <c:axId val="8014242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01429208"/>
        <c:crosses val="autoZero"/>
        <c:auto val="1"/>
        <c:lblAlgn val="ctr"/>
        <c:lblOffset val="100"/>
        <c:noMultiLvlLbl val="0"/>
      </c:catAx>
      <c:valAx>
        <c:axId val="80142920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14242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Adaptation de la logistique commerciale en réponse à la crise sanitaire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'Q20_Tab 53'!$B$5</c:f>
              <c:strCache>
                <c:ptCount val="1"/>
                <c:pt idx="0">
                  <c:v>Oui</c:v>
                </c:pt>
              </c:strCache>
            </c:strRef>
          </c:tx>
          <c:spPr>
            <a:solidFill>
              <a:schemeClr val="accent1"/>
            </a:solidFill>
            <a:ln>
              <a:noFill/>
            </a:ln>
            <a:effectLst/>
          </c:spPr>
          <c:invertIfNegative val="0"/>
          <c:cat>
            <c:strRef>
              <c:f>'Q20_Tab 53'!$A$6:$A$22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53'!$B$6:$B$22</c:f>
              <c:numCache>
                <c:formatCode>0.0</c:formatCode>
                <c:ptCount val="17"/>
                <c:pt idx="0">
                  <c:v>25.5</c:v>
                </c:pt>
                <c:pt idx="1">
                  <c:v>6.2</c:v>
                </c:pt>
                <c:pt idx="2">
                  <c:v>16.5</c:v>
                </c:pt>
                <c:pt idx="3">
                  <c:v>0</c:v>
                </c:pt>
                <c:pt idx="4">
                  <c:v>20.5</c:v>
                </c:pt>
                <c:pt idx="5">
                  <c:v>18.2</c:v>
                </c:pt>
                <c:pt idx="6">
                  <c:v>19.8</c:v>
                </c:pt>
                <c:pt idx="7">
                  <c:v>10.100000000000001</c:v>
                </c:pt>
                <c:pt idx="8">
                  <c:v>45.5</c:v>
                </c:pt>
                <c:pt idx="9">
                  <c:v>18.7</c:v>
                </c:pt>
                <c:pt idx="10">
                  <c:v>33.1</c:v>
                </c:pt>
                <c:pt idx="11">
                  <c:v>40</c:v>
                </c:pt>
                <c:pt idx="12">
                  <c:v>47.3</c:v>
                </c:pt>
                <c:pt idx="13">
                  <c:v>19.2</c:v>
                </c:pt>
                <c:pt idx="14">
                  <c:v>24</c:v>
                </c:pt>
                <c:pt idx="15">
                  <c:v>12.3</c:v>
                </c:pt>
                <c:pt idx="16">
                  <c:v>22.2</c:v>
                </c:pt>
              </c:numCache>
            </c:numRef>
          </c:val>
          <c:extLst>
            <c:ext xmlns:c16="http://schemas.microsoft.com/office/drawing/2014/chart" uri="{C3380CC4-5D6E-409C-BE32-E72D297353CC}">
              <c16:uniqueId val="{00000000-2639-4712-A5EC-2224A0049F71}"/>
            </c:ext>
          </c:extLst>
        </c:ser>
        <c:ser>
          <c:idx val="1"/>
          <c:order val="1"/>
          <c:tx>
            <c:strRef>
              <c:f>'Q20_Tab 53'!$C$5</c:f>
              <c:strCache>
                <c:ptCount val="1"/>
                <c:pt idx="0">
                  <c:v>Non</c:v>
                </c:pt>
              </c:strCache>
            </c:strRef>
          </c:tx>
          <c:spPr>
            <a:solidFill>
              <a:schemeClr val="accent2"/>
            </a:solidFill>
            <a:ln>
              <a:noFill/>
            </a:ln>
            <a:effectLst/>
          </c:spPr>
          <c:invertIfNegative val="0"/>
          <c:cat>
            <c:strRef>
              <c:f>'Q20_Tab 53'!$A$6:$A$22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53'!$C$6:$C$22</c:f>
              <c:numCache>
                <c:formatCode>0.0</c:formatCode>
                <c:ptCount val="17"/>
                <c:pt idx="0">
                  <c:v>25.3</c:v>
                </c:pt>
                <c:pt idx="1">
                  <c:v>10.4</c:v>
                </c:pt>
                <c:pt idx="2">
                  <c:v>47.3</c:v>
                </c:pt>
                <c:pt idx="3">
                  <c:v>72.8</c:v>
                </c:pt>
                <c:pt idx="4">
                  <c:v>35.799999999999997</c:v>
                </c:pt>
                <c:pt idx="5">
                  <c:v>34.599999999999994</c:v>
                </c:pt>
                <c:pt idx="6">
                  <c:v>39.5</c:v>
                </c:pt>
                <c:pt idx="7">
                  <c:v>26.900000000000002</c:v>
                </c:pt>
                <c:pt idx="8">
                  <c:v>32.4</c:v>
                </c:pt>
                <c:pt idx="9">
                  <c:v>27.800000000000004</c:v>
                </c:pt>
                <c:pt idx="10">
                  <c:v>19.600000000000001</c:v>
                </c:pt>
                <c:pt idx="11">
                  <c:v>19.5</c:v>
                </c:pt>
                <c:pt idx="12">
                  <c:v>24</c:v>
                </c:pt>
                <c:pt idx="13">
                  <c:v>27.900000000000002</c:v>
                </c:pt>
                <c:pt idx="14">
                  <c:v>20</c:v>
                </c:pt>
                <c:pt idx="15">
                  <c:v>14.000000000000002</c:v>
                </c:pt>
                <c:pt idx="16">
                  <c:v>11.200000000000001</c:v>
                </c:pt>
              </c:numCache>
            </c:numRef>
          </c:val>
          <c:extLst>
            <c:ext xmlns:c16="http://schemas.microsoft.com/office/drawing/2014/chart" uri="{C3380CC4-5D6E-409C-BE32-E72D297353CC}">
              <c16:uniqueId val="{00000001-2639-4712-A5EC-2224A0049F71}"/>
            </c:ext>
          </c:extLst>
        </c:ser>
        <c:ser>
          <c:idx val="2"/>
          <c:order val="2"/>
          <c:tx>
            <c:strRef>
              <c:f>'Q20_Tab 53'!$D$5</c:f>
              <c:strCache>
                <c:ptCount val="1"/>
                <c:pt idx="0">
                  <c:v>Non concerné</c:v>
                </c:pt>
              </c:strCache>
            </c:strRef>
          </c:tx>
          <c:spPr>
            <a:solidFill>
              <a:schemeClr val="accent3"/>
            </a:solidFill>
            <a:ln>
              <a:noFill/>
            </a:ln>
            <a:effectLst/>
          </c:spPr>
          <c:invertIfNegative val="0"/>
          <c:cat>
            <c:strRef>
              <c:f>'Q20_Tab 53'!$A$6:$A$22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53'!$D$6:$D$22</c:f>
              <c:numCache>
                <c:formatCode>0.0</c:formatCode>
                <c:ptCount val="17"/>
                <c:pt idx="0">
                  <c:v>49.3</c:v>
                </c:pt>
                <c:pt idx="1">
                  <c:v>83.399999999999991</c:v>
                </c:pt>
                <c:pt idx="2">
                  <c:v>36.199999999999996</c:v>
                </c:pt>
                <c:pt idx="3">
                  <c:v>0</c:v>
                </c:pt>
                <c:pt idx="4">
                  <c:v>43.7</c:v>
                </c:pt>
                <c:pt idx="5">
                  <c:v>47.099999999999994</c:v>
                </c:pt>
                <c:pt idx="6">
                  <c:v>40.6</c:v>
                </c:pt>
                <c:pt idx="7">
                  <c:v>63</c:v>
                </c:pt>
                <c:pt idx="8">
                  <c:v>22.1</c:v>
                </c:pt>
                <c:pt idx="9">
                  <c:v>53.5</c:v>
                </c:pt>
                <c:pt idx="10">
                  <c:v>47.3</c:v>
                </c:pt>
                <c:pt idx="11">
                  <c:v>40.5</c:v>
                </c:pt>
                <c:pt idx="12">
                  <c:v>28.7</c:v>
                </c:pt>
                <c:pt idx="13">
                  <c:v>52.900000000000006</c:v>
                </c:pt>
                <c:pt idx="14">
                  <c:v>56.000000000000007</c:v>
                </c:pt>
                <c:pt idx="15">
                  <c:v>73.7</c:v>
                </c:pt>
                <c:pt idx="16">
                  <c:v>66.600000000000009</c:v>
                </c:pt>
              </c:numCache>
            </c:numRef>
          </c:val>
          <c:extLst>
            <c:ext xmlns:c16="http://schemas.microsoft.com/office/drawing/2014/chart" uri="{C3380CC4-5D6E-409C-BE32-E72D297353CC}">
              <c16:uniqueId val="{00000002-2639-4712-A5EC-2224A0049F71}"/>
            </c:ext>
          </c:extLst>
        </c:ser>
        <c:ser>
          <c:idx val="3"/>
          <c:order val="3"/>
          <c:tx>
            <c:strRef>
              <c:f>'Q20_Tab 53'!$E$5</c:f>
              <c:strCache>
                <c:ptCount val="1"/>
                <c:pt idx="0">
                  <c:v>nd</c:v>
                </c:pt>
              </c:strCache>
            </c:strRef>
          </c:tx>
          <c:spPr>
            <a:solidFill>
              <a:schemeClr val="bg1">
                <a:lumMod val="50000"/>
              </a:schemeClr>
            </a:solidFill>
            <a:ln>
              <a:noFill/>
            </a:ln>
            <a:effectLst/>
          </c:spPr>
          <c:invertIfNegative val="0"/>
          <c:cat>
            <c:strRef>
              <c:f>'Q20_Tab 53'!$A$6:$A$22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53'!$E$6:$E$22</c:f>
              <c:numCache>
                <c:formatCode>0.0</c:formatCode>
                <c:ptCount val="17"/>
                <c:pt idx="3">
                  <c:v>27.200000000000003</c:v>
                </c:pt>
              </c:numCache>
            </c:numRef>
          </c:val>
          <c:extLst>
            <c:ext xmlns:c16="http://schemas.microsoft.com/office/drawing/2014/chart" uri="{C3380CC4-5D6E-409C-BE32-E72D297353CC}">
              <c16:uniqueId val="{00000003-2639-4712-A5EC-2224A0049F71}"/>
            </c:ext>
          </c:extLst>
        </c:ser>
        <c:dLbls>
          <c:showLegendKey val="0"/>
          <c:showVal val="0"/>
          <c:showCatName val="0"/>
          <c:showSerName val="0"/>
          <c:showPercent val="0"/>
          <c:showBubbleSize val="0"/>
        </c:dLbls>
        <c:gapWidth val="150"/>
        <c:overlap val="100"/>
        <c:axId val="801424288"/>
        <c:axId val="801429208"/>
      </c:barChart>
      <c:catAx>
        <c:axId val="8014242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01429208"/>
        <c:crosses val="autoZero"/>
        <c:auto val="1"/>
        <c:lblAlgn val="ctr"/>
        <c:lblOffset val="100"/>
        <c:noMultiLvlLbl val="0"/>
      </c:catAx>
      <c:valAx>
        <c:axId val="80142920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14242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Adaptation de la logistique commerciale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'Q21_Tab 54'!$A$5:$A$9</c:f>
              <c:strCache>
                <c:ptCount val="5"/>
                <c:pt idx="0">
                  <c:v>Développement de la vente en ligne</c:v>
                </c:pt>
                <c:pt idx="1">
                  <c:v>Développement de la vente directe</c:v>
                </c:pt>
                <c:pt idx="2">
                  <c:v>Nouveau système de livraison</c:v>
                </c:pt>
                <c:pt idx="3">
                  <c:v>Collaboration à une plateforme collaborative locale de vente</c:v>
                </c:pt>
                <c:pt idx="4">
                  <c:v>Autre(s)</c:v>
                </c:pt>
              </c:strCache>
            </c:strRef>
          </c:cat>
          <c:val>
            <c:numRef>
              <c:f>'Q21_Tab 54'!$B$5:$B$9</c:f>
              <c:numCache>
                <c:formatCode>0.0</c:formatCode>
                <c:ptCount val="5"/>
                <c:pt idx="0">
                  <c:v>39.5</c:v>
                </c:pt>
                <c:pt idx="1">
                  <c:v>6.9</c:v>
                </c:pt>
                <c:pt idx="2">
                  <c:v>13.700000000000001</c:v>
                </c:pt>
                <c:pt idx="3">
                  <c:v>0.89999999999999991</c:v>
                </c:pt>
                <c:pt idx="4">
                  <c:v>59.199999999999996</c:v>
                </c:pt>
              </c:numCache>
            </c:numRef>
          </c:val>
          <c:extLst>
            <c:ext xmlns:c16="http://schemas.microsoft.com/office/drawing/2014/chart" uri="{C3380CC4-5D6E-409C-BE32-E72D297353CC}">
              <c16:uniqueId val="{00000000-B871-4870-AB52-CA4796636E71}"/>
            </c:ext>
          </c:extLst>
        </c:ser>
        <c:dLbls>
          <c:showLegendKey val="0"/>
          <c:showVal val="0"/>
          <c:showCatName val="0"/>
          <c:showSerName val="0"/>
          <c:showPercent val="0"/>
          <c:showBubbleSize val="0"/>
        </c:dLbls>
        <c:gapWidth val="219"/>
        <c:overlap val="-27"/>
        <c:axId val="845110808"/>
        <c:axId val="845107528"/>
      </c:barChart>
      <c:catAx>
        <c:axId val="845110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45107528"/>
        <c:crosses val="autoZero"/>
        <c:auto val="1"/>
        <c:lblAlgn val="ctr"/>
        <c:lblOffset val="100"/>
        <c:noMultiLvlLbl val="0"/>
      </c:catAx>
      <c:valAx>
        <c:axId val="8451075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45110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Adaptation de la logistique commerciale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'Q21_Tab 54'!$A$5:$A$9</c:f>
              <c:strCache>
                <c:ptCount val="5"/>
                <c:pt idx="0">
                  <c:v>Développement de la vente en ligne</c:v>
                </c:pt>
                <c:pt idx="1">
                  <c:v>Développement de la vente directe</c:v>
                </c:pt>
                <c:pt idx="2">
                  <c:v>Nouveau système de livraison</c:v>
                </c:pt>
                <c:pt idx="3">
                  <c:v>Collaboration à une plateforme collaborative locale de vente</c:v>
                </c:pt>
                <c:pt idx="4">
                  <c:v>Autre(s)</c:v>
                </c:pt>
              </c:strCache>
            </c:strRef>
          </c:cat>
          <c:val>
            <c:numRef>
              <c:f>'Q21_Tab 54'!$B$5:$B$9</c:f>
              <c:numCache>
                <c:formatCode>0.0</c:formatCode>
                <c:ptCount val="5"/>
                <c:pt idx="0">
                  <c:v>39.5</c:v>
                </c:pt>
                <c:pt idx="1">
                  <c:v>6.9</c:v>
                </c:pt>
                <c:pt idx="2">
                  <c:v>13.700000000000001</c:v>
                </c:pt>
                <c:pt idx="3">
                  <c:v>0.89999999999999991</c:v>
                </c:pt>
                <c:pt idx="4">
                  <c:v>59.199999999999996</c:v>
                </c:pt>
              </c:numCache>
            </c:numRef>
          </c:val>
          <c:extLst>
            <c:ext xmlns:c16="http://schemas.microsoft.com/office/drawing/2014/chart" uri="{C3380CC4-5D6E-409C-BE32-E72D297353CC}">
              <c16:uniqueId val="{00000000-FE7E-4386-B918-7416FF53715A}"/>
            </c:ext>
          </c:extLst>
        </c:ser>
        <c:dLbls>
          <c:showLegendKey val="0"/>
          <c:showVal val="0"/>
          <c:showCatName val="0"/>
          <c:showSerName val="0"/>
          <c:showPercent val="0"/>
          <c:showBubbleSize val="0"/>
        </c:dLbls>
        <c:gapWidth val="219"/>
        <c:overlap val="-27"/>
        <c:axId val="845110808"/>
        <c:axId val="845107528"/>
      </c:barChart>
      <c:catAx>
        <c:axId val="845110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45107528"/>
        <c:crosses val="autoZero"/>
        <c:auto val="1"/>
        <c:lblAlgn val="ctr"/>
        <c:lblOffset val="100"/>
        <c:noMultiLvlLbl val="0"/>
      </c:catAx>
      <c:valAx>
        <c:axId val="8451075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45110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Adaptation de la logistique commerciale,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'Q21_Tab 55'!$A$5</c:f>
              <c:strCache>
                <c:ptCount val="1"/>
                <c:pt idx="0">
                  <c:v>Développement de la vente en ligne</c:v>
                </c:pt>
              </c:strCache>
            </c:strRef>
          </c:tx>
          <c:spPr>
            <a:solidFill>
              <a:schemeClr val="accent1"/>
            </a:solidFill>
            <a:ln>
              <a:noFill/>
            </a:ln>
            <a:effectLst/>
          </c:spPr>
          <c:invertIfNegative val="0"/>
          <c:cat>
            <c:strRef>
              <c:f>'Q21_Tab 55'!$B$4:$H$4</c:f>
              <c:strCache>
                <c:ptCount val="7"/>
                <c:pt idx="0">
                  <c:v>Ensemble</c:v>
                </c:pt>
                <c:pt idx="1">
                  <c:v>10 - 19</c:v>
                </c:pt>
                <c:pt idx="2">
                  <c:v>20 - 49</c:v>
                </c:pt>
                <c:pt idx="3">
                  <c:v>50 - 99</c:v>
                </c:pt>
                <c:pt idx="4">
                  <c:v>100 - 249</c:v>
                </c:pt>
                <c:pt idx="5">
                  <c:v>250 - 499</c:v>
                </c:pt>
                <c:pt idx="6">
                  <c:v>500 et +</c:v>
                </c:pt>
              </c:strCache>
            </c:strRef>
          </c:cat>
          <c:val>
            <c:numRef>
              <c:f>'Q21_Tab 55'!$B$5:$H$5</c:f>
              <c:numCache>
                <c:formatCode>0.0</c:formatCode>
                <c:ptCount val="7"/>
                <c:pt idx="0">
                  <c:v>39.5</c:v>
                </c:pt>
                <c:pt idx="1">
                  <c:v>23.5</c:v>
                </c:pt>
                <c:pt idx="2">
                  <c:v>30.9</c:v>
                </c:pt>
                <c:pt idx="3">
                  <c:v>35.299999999999997</c:v>
                </c:pt>
                <c:pt idx="4">
                  <c:v>36</c:v>
                </c:pt>
                <c:pt idx="5">
                  <c:v>37</c:v>
                </c:pt>
                <c:pt idx="6">
                  <c:v>45.800000000000004</c:v>
                </c:pt>
              </c:numCache>
            </c:numRef>
          </c:val>
          <c:extLst>
            <c:ext xmlns:c16="http://schemas.microsoft.com/office/drawing/2014/chart" uri="{C3380CC4-5D6E-409C-BE32-E72D297353CC}">
              <c16:uniqueId val="{00000000-5142-42E0-9538-5BEF0309B483}"/>
            </c:ext>
          </c:extLst>
        </c:ser>
        <c:ser>
          <c:idx val="1"/>
          <c:order val="1"/>
          <c:tx>
            <c:strRef>
              <c:f>'Q21_Tab 55'!$A$6</c:f>
              <c:strCache>
                <c:ptCount val="1"/>
                <c:pt idx="0">
                  <c:v>Développement de la vente directe</c:v>
                </c:pt>
              </c:strCache>
            </c:strRef>
          </c:tx>
          <c:spPr>
            <a:solidFill>
              <a:schemeClr val="accent2"/>
            </a:solidFill>
            <a:ln>
              <a:noFill/>
            </a:ln>
            <a:effectLst/>
          </c:spPr>
          <c:invertIfNegative val="0"/>
          <c:cat>
            <c:strRef>
              <c:f>'Q21_Tab 55'!$B$4:$H$4</c:f>
              <c:strCache>
                <c:ptCount val="7"/>
                <c:pt idx="0">
                  <c:v>Ensemble</c:v>
                </c:pt>
                <c:pt idx="1">
                  <c:v>10 - 19</c:v>
                </c:pt>
                <c:pt idx="2">
                  <c:v>20 - 49</c:v>
                </c:pt>
                <c:pt idx="3">
                  <c:v>50 - 99</c:v>
                </c:pt>
                <c:pt idx="4">
                  <c:v>100 - 249</c:v>
                </c:pt>
                <c:pt idx="5">
                  <c:v>250 - 499</c:v>
                </c:pt>
                <c:pt idx="6">
                  <c:v>500 et +</c:v>
                </c:pt>
              </c:strCache>
            </c:strRef>
          </c:cat>
          <c:val>
            <c:numRef>
              <c:f>'Q21_Tab 55'!$B$6:$H$6</c:f>
              <c:numCache>
                <c:formatCode>0.0</c:formatCode>
                <c:ptCount val="7"/>
                <c:pt idx="0">
                  <c:v>6.9</c:v>
                </c:pt>
                <c:pt idx="1">
                  <c:v>12.4</c:v>
                </c:pt>
                <c:pt idx="2">
                  <c:v>9.9</c:v>
                </c:pt>
                <c:pt idx="3">
                  <c:v>4.3</c:v>
                </c:pt>
                <c:pt idx="4">
                  <c:v>7.6</c:v>
                </c:pt>
                <c:pt idx="5">
                  <c:v>5.5</c:v>
                </c:pt>
                <c:pt idx="6">
                  <c:v>5.5</c:v>
                </c:pt>
              </c:numCache>
            </c:numRef>
          </c:val>
          <c:extLst>
            <c:ext xmlns:c16="http://schemas.microsoft.com/office/drawing/2014/chart" uri="{C3380CC4-5D6E-409C-BE32-E72D297353CC}">
              <c16:uniqueId val="{00000001-5142-42E0-9538-5BEF0309B483}"/>
            </c:ext>
          </c:extLst>
        </c:ser>
        <c:ser>
          <c:idx val="2"/>
          <c:order val="2"/>
          <c:tx>
            <c:strRef>
              <c:f>'Q21_Tab 55'!$A$7</c:f>
              <c:strCache>
                <c:ptCount val="1"/>
                <c:pt idx="0">
                  <c:v>Nouveau système de livraison</c:v>
                </c:pt>
              </c:strCache>
            </c:strRef>
          </c:tx>
          <c:spPr>
            <a:solidFill>
              <a:schemeClr val="accent3"/>
            </a:solidFill>
            <a:ln>
              <a:noFill/>
            </a:ln>
            <a:effectLst/>
          </c:spPr>
          <c:invertIfNegative val="0"/>
          <c:cat>
            <c:strRef>
              <c:f>'Q21_Tab 55'!$B$4:$H$4</c:f>
              <c:strCache>
                <c:ptCount val="7"/>
                <c:pt idx="0">
                  <c:v>Ensemble</c:v>
                </c:pt>
                <c:pt idx="1">
                  <c:v>10 - 19</c:v>
                </c:pt>
                <c:pt idx="2">
                  <c:v>20 - 49</c:v>
                </c:pt>
                <c:pt idx="3">
                  <c:v>50 - 99</c:v>
                </c:pt>
                <c:pt idx="4">
                  <c:v>100 - 249</c:v>
                </c:pt>
                <c:pt idx="5">
                  <c:v>250 - 499</c:v>
                </c:pt>
                <c:pt idx="6">
                  <c:v>500 et +</c:v>
                </c:pt>
              </c:strCache>
            </c:strRef>
          </c:cat>
          <c:val>
            <c:numRef>
              <c:f>'Q21_Tab 55'!$B$7:$H$7</c:f>
              <c:numCache>
                <c:formatCode>0.0</c:formatCode>
                <c:ptCount val="7"/>
                <c:pt idx="0">
                  <c:v>13.700000000000001</c:v>
                </c:pt>
                <c:pt idx="1">
                  <c:v>17.599999999999998</c:v>
                </c:pt>
                <c:pt idx="2">
                  <c:v>11.600000000000001</c:v>
                </c:pt>
                <c:pt idx="3">
                  <c:v>20.8</c:v>
                </c:pt>
                <c:pt idx="4">
                  <c:v>11.600000000000001</c:v>
                </c:pt>
                <c:pt idx="5">
                  <c:v>12.5</c:v>
                </c:pt>
                <c:pt idx="6">
                  <c:v>12.7</c:v>
                </c:pt>
              </c:numCache>
            </c:numRef>
          </c:val>
          <c:extLst>
            <c:ext xmlns:c16="http://schemas.microsoft.com/office/drawing/2014/chart" uri="{C3380CC4-5D6E-409C-BE32-E72D297353CC}">
              <c16:uniqueId val="{00000002-5142-42E0-9538-5BEF0309B483}"/>
            </c:ext>
          </c:extLst>
        </c:ser>
        <c:ser>
          <c:idx val="3"/>
          <c:order val="3"/>
          <c:tx>
            <c:strRef>
              <c:f>'Q21_Tab 55'!$A$8</c:f>
              <c:strCache>
                <c:ptCount val="1"/>
                <c:pt idx="0">
                  <c:v>Collaboration à une plateforme collaborative locale de vente</c:v>
                </c:pt>
              </c:strCache>
            </c:strRef>
          </c:tx>
          <c:spPr>
            <a:solidFill>
              <a:schemeClr val="accent4"/>
            </a:solidFill>
            <a:ln>
              <a:noFill/>
            </a:ln>
            <a:effectLst/>
          </c:spPr>
          <c:invertIfNegative val="0"/>
          <c:cat>
            <c:strRef>
              <c:f>'Q21_Tab 55'!$B$4:$H$4</c:f>
              <c:strCache>
                <c:ptCount val="7"/>
                <c:pt idx="0">
                  <c:v>Ensemble</c:v>
                </c:pt>
                <c:pt idx="1">
                  <c:v>10 - 19</c:v>
                </c:pt>
                <c:pt idx="2">
                  <c:v>20 - 49</c:v>
                </c:pt>
                <c:pt idx="3">
                  <c:v>50 - 99</c:v>
                </c:pt>
                <c:pt idx="4">
                  <c:v>100 - 249</c:v>
                </c:pt>
                <c:pt idx="5">
                  <c:v>250 - 499</c:v>
                </c:pt>
                <c:pt idx="6">
                  <c:v>500 et +</c:v>
                </c:pt>
              </c:strCache>
            </c:strRef>
          </c:cat>
          <c:val>
            <c:numRef>
              <c:f>'Q21_Tab 55'!$B$8:$H$8</c:f>
              <c:numCache>
                <c:formatCode>0.0</c:formatCode>
                <c:ptCount val="7"/>
                <c:pt idx="0">
                  <c:v>0.89999999999999991</c:v>
                </c:pt>
                <c:pt idx="1">
                  <c:v>1.2</c:v>
                </c:pt>
                <c:pt idx="2">
                  <c:v>1.0999999999999999</c:v>
                </c:pt>
                <c:pt idx="3">
                  <c:v>1.9</c:v>
                </c:pt>
                <c:pt idx="4">
                  <c:v>1.2</c:v>
                </c:pt>
                <c:pt idx="5">
                  <c:v>0</c:v>
                </c:pt>
                <c:pt idx="6">
                  <c:v>0.6</c:v>
                </c:pt>
              </c:numCache>
            </c:numRef>
          </c:val>
          <c:extLst>
            <c:ext xmlns:c16="http://schemas.microsoft.com/office/drawing/2014/chart" uri="{C3380CC4-5D6E-409C-BE32-E72D297353CC}">
              <c16:uniqueId val="{00000003-5142-42E0-9538-5BEF0309B483}"/>
            </c:ext>
          </c:extLst>
        </c:ser>
        <c:ser>
          <c:idx val="4"/>
          <c:order val="4"/>
          <c:tx>
            <c:strRef>
              <c:f>'Q21_Tab 55'!$A$9</c:f>
              <c:strCache>
                <c:ptCount val="1"/>
                <c:pt idx="0">
                  <c:v>Autre(s)</c:v>
                </c:pt>
              </c:strCache>
            </c:strRef>
          </c:tx>
          <c:spPr>
            <a:solidFill>
              <a:schemeClr val="accent5"/>
            </a:solidFill>
            <a:ln>
              <a:noFill/>
            </a:ln>
            <a:effectLst/>
          </c:spPr>
          <c:invertIfNegative val="0"/>
          <c:cat>
            <c:strRef>
              <c:f>'Q21_Tab 55'!$B$4:$H$4</c:f>
              <c:strCache>
                <c:ptCount val="7"/>
                <c:pt idx="0">
                  <c:v>Ensemble</c:v>
                </c:pt>
                <c:pt idx="1">
                  <c:v>10 - 19</c:v>
                </c:pt>
                <c:pt idx="2">
                  <c:v>20 - 49</c:v>
                </c:pt>
                <c:pt idx="3">
                  <c:v>50 - 99</c:v>
                </c:pt>
                <c:pt idx="4">
                  <c:v>100 - 249</c:v>
                </c:pt>
                <c:pt idx="5">
                  <c:v>250 - 499</c:v>
                </c:pt>
                <c:pt idx="6">
                  <c:v>500 et +</c:v>
                </c:pt>
              </c:strCache>
            </c:strRef>
          </c:cat>
          <c:val>
            <c:numRef>
              <c:f>'Q21_Tab 55'!$B$9:$H$9</c:f>
              <c:numCache>
                <c:formatCode>0.0</c:formatCode>
                <c:ptCount val="7"/>
                <c:pt idx="0">
                  <c:v>59.199999999999996</c:v>
                </c:pt>
                <c:pt idx="1">
                  <c:v>59.199999999999996</c:v>
                </c:pt>
                <c:pt idx="2">
                  <c:v>60.8</c:v>
                </c:pt>
                <c:pt idx="3">
                  <c:v>53.6</c:v>
                </c:pt>
                <c:pt idx="4">
                  <c:v>57.599999999999994</c:v>
                </c:pt>
                <c:pt idx="5">
                  <c:v>59.5</c:v>
                </c:pt>
                <c:pt idx="6">
                  <c:v>60.099999999999994</c:v>
                </c:pt>
              </c:numCache>
            </c:numRef>
          </c:val>
          <c:extLst>
            <c:ext xmlns:c16="http://schemas.microsoft.com/office/drawing/2014/chart" uri="{C3380CC4-5D6E-409C-BE32-E72D297353CC}">
              <c16:uniqueId val="{00000004-5142-42E0-9538-5BEF0309B483}"/>
            </c:ext>
          </c:extLst>
        </c:ser>
        <c:dLbls>
          <c:showLegendKey val="0"/>
          <c:showVal val="0"/>
          <c:showCatName val="0"/>
          <c:showSerName val="0"/>
          <c:showPercent val="0"/>
          <c:showBubbleSize val="0"/>
        </c:dLbls>
        <c:gapWidth val="219"/>
        <c:overlap val="-27"/>
        <c:axId val="845048488"/>
        <c:axId val="845054064"/>
      </c:barChart>
      <c:catAx>
        <c:axId val="845048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45054064"/>
        <c:crosses val="autoZero"/>
        <c:auto val="1"/>
        <c:lblAlgn val="ctr"/>
        <c:lblOffset val="100"/>
        <c:noMultiLvlLbl val="0"/>
      </c:catAx>
      <c:valAx>
        <c:axId val="845054064"/>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450484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Adaptation de la logistique commerciale,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'Q21_Tab 55'!$A$5</c:f>
              <c:strCache>
                <c:ptCount val="1"/>
                <c:pt idx="0">
                  <c:v>Développement de la vente en ligne</c:v>
                </c:pt>
              </c:strCache>
            </c:strRef>
          </c:tx>
          <c:spPr>
            <a:solidFill>
              <a:schemeClr val="accent1"/>
            </a:solidFill>
            <a:ln>
              <a:noFill/>
            </a:ln>
            <a:effectLst/>
          </c:spPr>
          <c:invertIfNegative val="0"/>
          <c:cat>
            <c:strRef>
              <c:f>'Q21_Tab 55'!$B$4:$H$4</c:f>
              <c:strCache>
                <c:ptCount val="7"/>
                <c:pt idx="0">
                  <c:v>Ensemble</c:v>
                </c:pt>
                <c:pt idx="1">
                  <c:v>10 - 19</c:v>
                </c:pt>
                <c:pt idx="2">
                  <c:v>20 - 49</c:v>
                </c:pt>
                <c:pt idx="3">
                  <c:v>50 - 99</c:v>
                </c:pt>
                <c:pt idx="4">
                  <c:v>100 - 249</c:v>
                </c:pt>
                <c:pt idx="5">
                  <c:v>250 - 499</c:v>
                </c:pt>
                <c:pt idx="6">
                  <c:v>500 et +</c:v>
                </c:pt>
              </c:strCache>
            </c:strRef>
          </c:cat>
          <c:val>
            <c:numRef>
              <c:f>'Q21_Tab 55'!$B$5:$H$5</c:f>
              <c:numCache>
                <c:formatCode>0.0</c:formatCode>
                <c:ptCount val="7"/>
                <c:pt idx="0">
                  <c:v>39.5</c:v>
                </c:pt>
                <c:pt idx="1">
                  <c:v>23.5</c:v>
                </c:pt>
                <c:pt idx="2">
                  <c:v>30.9</c:v>
                </c:pt>
                <c:pt idx="3">
                  <c:v>35.299999999999997</c:v>
                </c:pt>
                <c:pt idx="4">
                  <c:v>36</c:v>
                </c:pt>
                <c:pt idx="5">
                  <c:v>37</c:v>
                </c:pt>
                <c:pt idx="6">
                  <c:v>45.800000000000004</c:v>
                </c:pt>
              </c:numCache>
            </c:numRef>
          </c:val>
          <c:extLst>
            <c:ext xmlns:c16="http://schemas.microsoft.com/office/drawing/2014/chart" uri="{C3380CC4-5D6E-409C-BE32-E72D297353CC}">
              <c16:uniqueId val="{00000000-6468-4CA0-9CC1-EF0FB9A16089}"/>
            </c:ext>
          </c:extLst>
        </c:ser>
        <c:ser>
          <c:idx val="1"/>
          <c:order val="1"/>
          <c:tx>
            <c:strRef>
              <c:f>'Q21_Tab 55'!$A$6</c:f>
              <c:strCache>
                <c:ptCount val="1"/>
                <c:pt idx="0">
                  <c:v>Développement de la vente directe</c:v>
                </c:pt>
              </c:strCache>
            </c:strRef>
          </c:tx>
          <c:spPr>
            <a:solidFill>
              <a:schemeClr val="accent2"/>
            </a:solidFill>
            <a:ln>
              <a:noFill/>
            </a:ln>
            <a:effectLst/>
          </c:spPr>
          <c:invertIfNegative val="0"/>
          <c:cat>
            <c:strRef>
              <c:f>'Q21_Tab 55'!$B$4:$H$4</c:f>
              <c:strCache>
                <c:ptCount val="7"/>
                <c:pt idx="0">
                  <c:v>Ensemble</c:v>
                </c:pt>
                <c:pt idx="1">
                  <c:v>10 - 19</c:v>
                </c:pt>
                <c:pt idx="2">
                  <c:v>20 - 49</c:v>
                </c:pt>
                <c:pt idx="3">
                  <c:v>50 - 99</c:v>
                </c:pt>
                <c:pt idx="4">
                  <c:v>100 - 249</c:v>
                </c:pt>
                <c:pt idx="5">
                  <c:v>250 - 499</c:v>
                </c:pt>
                <c:pt idx="6">
                  <c:v>500 et +</c:v>
                </c:pt>
              </c:strCache>
            </c:strRef>
          </c:cat>
          <c:val>
            <c:numRef>
              <c:f>'Q21_Tab 55'!$B$6:$H$6</c:f>
              <c:numCache>
                <c:formatCode>0.0</c:formatCode>
                <c:ptCount val="7"/>
                <c:pt idx="0">
                  <c:v>6.9</c:v>
                </c:pt>
                <c:pt idx="1">
                  <c:v>12.4</c:v>
                </c:pt>
                <c:pt idx="2">
                  <c:v>9.9</c:v>
                </c:pt>
                <c:pt idx="3">
                  <c:v>4.3</c:v>
                </c:pt>
                <c:pt idx="4">
                  <c:v>7.6</c:v>
                </c:pt>
                <c:pt idx="5">
                  <c:v>5.5</c:v>
                </c:pt>
                <c:pt idx="6">
                  <c:v>5.5</c:v>
                </c:pt>
              </c:numCache>
            </c:numRef>
          </c:val>
          <c:extLst>
            <c:ext xmlns:c16="http://schemas.microsoft.com/office/drawing/2014/chart" uri="{C3380CC4-5D6E-409C-BE32-E72D297353CC}">
              <c16:uniqueId val="{00000001-6468-4CA0-9CC1-EF0FB9A16089}"/>
            </c:ext>
          </c:extLst>
        </c:ser>
        <c:ser>
          <c:idx val="2"/>
          <c:order val="2"/>
          <c:tx>
            <c:strRef>
              <c:f>'Q21_Tab 55'!$A$7</c:f>
              <c:strCache>
                <c:ptCount val="1"/>
                <c:pt idx="0">
                  <c:v>Nouveau système de livraison</c:v>
                </c:pt>
              </c:strCache>
            </c:strRef>
          </c:tx>
          <c:spPr>
            <a:solidFill>
              <a:schemeClr val="accent3"/>
            </a:solidFill>
            <a:ln>
              <a:noFill/>
            </a:ln>
            <a:effectLst/>
          </c:spPr>
          <c:invertIfNegative val="0"/>
          <c:cat>
            <c:strRef>
              <c:f>'Q21_Tab 55'!$B$4:$H$4</c:f>
              <c:strCache>
                <c:ptCount val="7"/>
                <c:pt idx="0">
                  <c:v>Ensemble</c:v>
                </c:pt>
                <c:pt idx="1">
                  <c:v>10 - 19</c:v>
                </c:pt>
                <c:pt idx="2">
                  <c:v>20 - 49</c:v>
                </c:pt>
                <c:pt idx="3">
                  <c:v>50 - 99</c:v>
                </c:pt>
                <c:pt idx="4">
                  <c:v>100 - 249</c:v>
                </c:pt>
                <c:pt idx="5">
                  <c:v>250 - 499</c:v>
                </c:pt>
                <c:pt idx="6">
                  <c:v>500 et +</c:v>
                </c:pt>
              </c:strCache>
            </c:strRef>
          </c:cat>
          <c:val>
            <c:numRef>
              <c:f>'Q21_Tab 55'!$B$7:$H$7</c:f>
              <c:numCache>
                <c:formatCode>0.0</c:formatCode>
                <c:ptCount val="7"/>
                <c:pt idx="0">
                  <c:v>13.700000000000001</c:v>
                </c:pt>
                <c:pt idx="1">
                  <c:v>17.599999999999998</c:v>
                </c:pt>
                <c:pt idx="2">
                  <c:v>11.600000000000001</c:v>
                </c:pt>
                <c:pt idx="3">
                  <c:v>20.8</c:v>
                </c:pt>
                <c:pt idx="4">
                  <c:v>11.600000000000001</c:v>
                </c:pt>
                <c:pt idx="5">
                  <c:v>12.5</c:v>
                </c:pt>
                <c:pt idx="6">
                  <c:v>12.7</c:v>
                </c:pt>
              </c:numCache>
            </c:numRef>
          </c:val>
          <c:extLst>
            <c:ext xmlns:c16="http://schemas.microsoft.com/office/drawing/2014/chart" uri="{C3380CC4-5D6E-409C-BE32-E72D297353CC}">
              <c16:uniqueId val="{00000002-6468-4CA0-9CC1-EF0FB9A16089}"/>
            </c:ext>
          </c:extLst>
        </c:ser>
        <c:ser>
          <c:idx val="3"/>
          <c:order val="3"/>
          <c:tx>
            <c:strRef>
              <c:f>'Q21_Tab 55'!$A$8</c:f>
              <c:strCache>
                <c:ptCount val="1"/>
                <c:pt idx="0">
                  <c:v>Collaboration à une plateforme collaborative locale de vente</c:v>
                </c:pt>
              </c:strCache>
            </c:strRef>
          </c:tx>
          <c:spPr>
            <a:solidFill>
              <a:schemeClr val="accent4"/>
            </a:solidFill>
            <a:ln>
              <a:noFill/>
            </a:ln>
            <a:effectLst/>
          </c:spPr>
          <c:invertIfNegative val="0"/>
          <c:cat>
            <c:strRef>
              <c:f>'Q21_Tab 55'!$B$4:$H$4</c:f>
              <c:strCache>
                <c:ptCount val="7"/>
                <c:pt idx="0">
                  <c:v>Ensemble</c:v>
                </c:pt>
                <c:pt idx="1">
                  <c:v>10 - 19</c:v>
                </c:pt>
                <c:pt idx="2">
                  <c:v>20 - 49</c:v>
                </c:pt>
                <c:pt idx="3">
                  <c:v>50 - 99</c:v>
                </c:pt>
                <c:pt idx="4">
                  <c:v>100 - 249</c:v>
                </c:pt>
                <c:pt idx="5">
                  <c:v>250 - 499</c:v>
                </c:pt>
                <c:pt idx="6">
                  <c:v>500 et +</c:v>
                </c:pt>
              </c:strCache>
            </c:strRef>
          </c:cat>
          <c:val>
            <c:numRef>
              <c:f>'Q21_Tab 55'!$B$8:$H$8</c:f>
              <c:numCache>
                <c:formatCode>0.0</c:formatCode>
                <c:ptCount val="7"/>
                <c:pt idx="0">
                  <c:v>0.89999999999999991</c:v>
                </c:pt>
                <c:pt idx="1">
                  <c:v>1.2</c:v>
                </c:pt>
                <c:pt idx="2">
                  <c:v>1.0999999999999999</c:v>
                </c:pt>
                <c:pt idx="3">
                  <c:v>1.9</c:v>
                </c:pt>
                <c:pt idx="4">
                  <c:v>1.2</c:v>
                </c:pt>
                <c:pt idx="5">
                  <c:v>0</c:v>
                </c:pt>
                <c:pt idx="6">
                  <c:v>0.6</c:v>
                </c:pt>
              </c:numCache>
            </c:numRef>
          </c:val>
          <c:extLst>
            <c:ext xmlns:c16="http://schemas.microsoft.com/office/drawing/2014/chart" uri="{C3380CC4-5D6E-409C-BE32-E72D297353CC}">
              <c16:uniqueId val="{00000003-6468-4CA0-9CC1-EF0FB9A16089}"/>
            </c:ext>
          </c:extLst>
        </c:ser>
        <c:ser>
          <c:idx val="4"/>
          <c:order val="4"/>
          <c:tx>
            <c:strRef>
              <c:f>'Q21_Tab 55'!$A$9</c:f>
              <c:strCache>
                <c:ptCount val="1"/>
                <c:pt idx="0">
                  <c:v>Autre(s)</c:v>
                </c:pt>
              </c:strCache>
            </c:strRef>
          </c:tx>
          <c:spPr>
            <a:solidFill>
              <a:schemeClr val="accent5"/>
            </a:solidFill>
            <a:ln>
              <a:noFill/>
            </a:ln>
            <a:effectLst/>
          </c:spPr>
          <c:invertIfNegative val="0"/>
          <c:cat>
            <c:strRef>
              <c:f>'Q21_Tab 55'!$B$4:$H$4</c:f>
              <c:strCache>
                <c:ptCount val="7"/>
                <c:pt idx="0">
                  <c:v>Ensemble</c:v>
                </c:pt>
                <c:pt idx="1">
                  <c:v>10 - 19</c:v>
                </c:pt>
                <c:pt idx="2">
                  <c:v>20 - 49</c:v>
                </c:pt>
                <c:pt idx="3">
                  <c:v>50 - 99</c:v>
                </c:pt>
                <c:pt idx="4">
                  <c:v>100 - 249</c:v>
                </c:pt>
                <c:pt idx="5">
                  <c:v>250 - 499</c:v>
                </c:pt>
                <c:pt idx="6">
                  <c:v>500 et +</c:v>
                </c:pt>
              </c:strCache>
            </c:strRef>
          </c:cat>
          <c:val>
            <c:numRef>
              <c:f>'Q21_Tab 55'!$B$9:$H$9</c:f>
              <c:numCache>
                <c:formatCode>0.0</c:formatCode>
                <c:ptCount val="7"/>
                <c:pt idx="0">
                  <c:v>59.199999999999996</c:v>
                </c:pt>
                <c:pt idx="1">
                  <c:v>59.199999999999996</c:v>
                </c:pt>
                <c:pt idx="2">
                  <c:v>60.8</c:v>
                </c:pt>
                <c:pt idx="3">
                  <c:v>53.6</c:v>
                </c:pt>
                <c:pt idx="4">
                  <c:v>57.599999999999994</c:v>
                </c:pt>
                <c:pt idx="5">
                  <c:v>59.5</c:v>
                </c:pt>
                <c:pt idx="6">
                  <c:v>60.099999999999994</c:v>
                </c:pt>
              </c:numCache>
            </c:numRef>
          </c:val>
          <c:extLst>
            <c:ext xmlns:c16="http://schemas.microsoft.com/office/drawing/2014/chart" uri="{C3380CC4-5D6E-409C-BE32-E72D297353CC}">
              <c16:uniqueId val="{00000004-6468-4CA0-9CC1-EF0FB9A16089}"/>
            </c:ext>
          </c:extLst>
        </c:ser>
        <c:dLbls>
          <c:showLegendKey val="0"/>
          <c:showVal val="0"/>
          <c:showCatName val="0"/>
          <c:showSerName val="0"/>
          <c:showPercent val="0"/>
          <c:showBubbleSize val="0"/>
        </c:dLbls>
        <c:gapWidth val="219"/>
        <c:overlap val="-27"/>
        <c:axId val="845048488"/>
        <c:axId val="845054064"/>
      </c:barChart>
      <c:catAx>
        <c:axId val="845048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45054064"/>
        <c:crosses val="autoZero"/>
        <c:auto val="1"/>
        <c:lblAlgn val="ctr"/>
        <c:lblOffset val="100"/>
        <c:noMultiLvlLbl val="0"/>
      </c:catAx>
      <c:valAx>
        <c:axId val="845054064"/>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450484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Adaptation de la logistique commerciale,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'Q21_Tab 56'!$B$5</c:f>
              <c:strCache>
                <c:ptCount val="1"/>
                <c:pt idx="0">
                  <c:v>Développement de la vente en ligne</c:v>
                </c:pt>
              </c:strCache>
            </c:strRef>
          </c:tx>
          <c:spPr>
            <a:solidFill>
              <a:schemeClr val="accent1"/>
            </a:solidFill>
            <a:ln>
              <a:noFill/>
            </a:ln>
            <a:effectLst/>
          </c:spPr>
          <c:invertIfNegative val="0"/>
          <c:cat>
            <c:strRef>
              <c:f>'Q21_Tab 56'!$A$6:$A$22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56'!$B$6:$B$22</c:f>
              <c:numCache>
                <c:formatCode>0.0</c:formatCode>
                <c:ptCount val="17"/>
                <c:pt idx="0">
                  <c:v>39.5</c:v>
                </c:pt>
                <c:pt idx="1">
                  <c:v>9.5</c:v>
                </c:pt>
                <c:pt idx="2">
                  <c:v>29.799999999999997</c:v>
                </c:pt>
                <c:pt idx="3">
                  <c:v>0</c:v>
                </c:pt>
                <c:pt idx="4">
                  <c:v>27.900000000000002</c:v>
                </c:pt>
                <c:pt idx="5">
                  <c:v>48.3</c:v>
                </c:pt>
                <c:pt idx="6">
                  <c:v>30.9</c:v>
                </c:pt>
                <c:pt idx="7">
                  <c:v>16.7</c:v>
                </c:pt>
                <c:pt idx="8">
                  <c:v>64.3</c:v>
                </c:pt>
                <c:pt idx="9">
                  <c:v>27.3</c:v>
                </c:pt>
                <c:pt idx="10">
                  <c:v>34.4</c:v>
                </c:pt>
                <c:pt idx="11">
                  <c:v>15.299999999999999</c:v>
                </c:pt>
                <c:pt idx="12">
                  <c:v>59.099999999999994</c:v>
                </c:pt>
                <c:pt idx="13">
                  <c:v>35.299999999999997</c:v>
                </c:pt>
                <c:pt idx="14">
                  <c:v>15.1</c:v>
                </c:pt>
                <c:pt idx="15">
                  <c:v>16.100000000000001</c:v>
                </c:pt>
                <c:pt idx="16">
                  <c:v>25.7</c:v>
                </c:pt>
              </c:numCache>
            </c:numRef>
          </c:val>
          <c:extLst>
            <c:ext xmlns:c16="http://schemas.microsoft.com/office/drawing/2014/chart" uri="{C3380CC4-5D6E-409C-BE32-E72D297353CC}">
              <c16:uniqueId val="{00000000-EDFD-4367-8106-D3A437659B3F}"/>
            </c:ext>
          </c:extLst>
        </c:ser>
        <c:ser>
          <c:idx val="1"/>
          <c:order val="1"/>
          <c:tx>
            <c:strRef>
              <c:f>'Q21_Tab 56'!$C$5</c:f>
              <c:strCache>
                <c:ptCount val="1"/>
                <c:pt idx="0">
                  <c:v>Développement de la vente directe</c:v>
                </c:pt>
              </c:strCache>
            </c:strRef>
          </c:tx>
          <c:spPr>
            <a:solidFill>
              <a:schemeClr val="accent2"/>
            </a:solidFill>
            <a:ln>
              <a:noFill/>
            </a:ln>
            <a:effectLst/>
          </c:spPr>
          <c:invertIfNegative val="0"/>
          <c:cat>
            <c:strRef>
              <c:f>'Q21_Tab 56'!$A$6:$A$22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56'!$C$6:$C$22</c:f>
              <c:numCache>
                <c:formatCode>0.0</c:formatCode>
                <c:ptCount val="17"/>
                <c:pt idx="0">
                  <c:v>6.9</c:v>
                </c:pt>
                <c:pt idx="1">
                  <c:v>0</c:v>
                </c:pt>
                <c:pt idx="2">
                  <c:v>14.6</c:v>
                </c:pt>
                <c:pt idx="3">
                  <c:v>0</c:v>
                </c:pt>
                <c:pt idx="4">
                  <c:v>0</c:v>
                </c:pt>
                <c:pt idx="5">
                  <c:v>0</c:v>
                </c:pt>
                <c:pt idx="6">
                  <c:v>6.9</c:v>
                </c:pt>
                <c:pt idx="7">
                  <c:v>0</c:v>
                </c:pt>
                <c:pt idx="8">
                  <c:v>6.2</c:v>
                </c:pt>
                <c:pt idx="9">
                  <c:v>4.8</c:v>
                </c:pt>
                <c:pt idx="10">
                  <c:v>25.1</c:v>
                </c:pt>
                <c:pt idx="11">
                  <c:v>1.9</c:v>
                </c:pt>
                <c:pt idx="12">
                  <c:v>7.8</c:v>
                </c:pt>
                <c:pt idx="13">
                  <c:v>0</c:v>
                </c:pt>
                <c:pt idx="14">
                  <c:v>4</c:v>
                </c:pt>
                <c:pt idx="15">
                  <c:v>4.5</c:v>
                </c:pt>
                <c:pt idx="16">
                  <c:v>2.7</c:v>
                </c:pt>
              </c:numCache>
            </c:numRef>
          </c:val>
          <c:extLst>
            <c:ext xmlns:c16="http://schemas.microsoft.com/office/drawing/2014/chart" uri="{C3380CC4-5D6E-409C-BE32-E72D297353CC}">
              <c16:uniqueId val="{00000001-EDFD-4367-8106-D3A437659B3F}"/>
            </c:ext>
          </c:extLst>
        </c:ser>
        <c:ser>
          <c:idx val="2"/>
          <c:order val="2"/>
          <c:tx>
            <c:strRef>
              <c:f>'Q21_Tab 56'!$D$5</c:f>
              <c:strCache>
                <c:ptCount val="1"/>
                <c:pt idx="0">
                  <c:v>Nouveau système de livraison</c:v>
                </c:pt>
              </c:strCache>
            </c:strRef>
          </c:tx>
          <c:spPr>
            <a:solidFill>
              <a:schemeClr val="accent3"/>
            </a:solidFill>
            <a:ln>
              <a:noFill/>
            </a:ln>
            <a:effectLst/>
          </c:spPr>
          <c:invertIfNegative val="0"/>
          <c:cat>
            <c:strRef>
              <c:f>'Q21_Tab 56'!$A$6:$A$22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56'!$D$6:$D$22</c:f>
              <c:numCache>
                <c:formatCode>0.0</c:formatCode>
                <c:ptCount val="17"/>
                <c:pt idx="0">
                  <c:v>13.700000000000001</c:v>
                </c:pt>
                <c:pt idx="1">
                  <c:v>11.899999999999999</c:v>
                </c:pt>
                <c:pt idx="2">
                  <c:v>27.800000000000004</c:v>
                </c:pt>
                <c:pt idx="3">
                  <c:v>0</c:v>
                </c:pt>
                <c:pt idx="4">
                  <c:v>15.299999999999999</c:v>
                </c:pt>
                <c:pt idx="5">
                  <c:v>0</c:v>
                </c:pt>
                <c:pt idx="6">
                  <c:v>12</c:v>
                </c:pt>
                <c:pt idx="7">
                  <c:v>4.8</c:v>
                </c:pt>
                <c:pt idx="8">
                  <c:v>22.400000000000002</c:v>
                </c:pt>
                <c:pt idx="9">
                  <c:v>12.7</c:v>
                </c:pt>
                <c:pt idx="10">
                  <c:v>22.2</c:v>
                </c:pt>
                <c:pt idx="11">
                  <c:v>5.8000000000000007</c:v>
                </c:pt>
                <c:pt idx="12">
                  <c:v>1.0999999999999999</c:v>
                </c:pt>
                <c:pt idx="13">
                  <c:v>19.2</c:v>
                </c:pt>
                <c:pt idx="14">
                  <c:v>4.9000000000000004</c:v>
                </c:pt>
                <c:pt idx="15">
                  <c:v>11.600000000000001</c:v>
                </c:pt>
                <c:pt idx="16">
                  <c:v>4.3</c:v>
                </c:pt>
              </c:numCache>
            </c:numRef>
          </c:val>
          <c:extLst>
            <c:ext xmlns:c16="http://schemas.microsoft.com/office/drawing/2014/chart" uri="{C3380CC4-5D6E-409C-BE32-E72D297353CC}">
              <c16:uniqueId val="{00000002-EDFD-4367-8106-D3A437659B3F}"/>
            </c:ext>
          </c:extLst>
        </c:ser>
        <c:ser>
          <c:idx val="3"/>
          <c:order val="3"/>
          <c:tx>
            <c:strRef>
              <c:f>'Q21_Tab 56'!$E$5</c:f>
              <c:strCache>
                <c:ptCount val="1"/>
                <c:pt idx="0">
                  <c:v>Collaboration à une plateforme collaborative locale de vente</c:v>
                </c:pt>
              </c:strCache>
            </c:strRef>
          </c:tx>
          <c:spPr>
            <a:solidFill>
              <a:schemeClr val="accent4"/>
            </a:solidFill>
            <a:ln>
              <a:noFill/>
            </a:ln>
            <a:effectLst/>
          </c:spPr>
          <c:invertIfNegative val="0"/>
          <c:cat>
            <c:strRef>
              <c:f>'Q21_Tab 56'!$A$6:$A$22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56'!$E$6:$E$22</c:f>
              <c:numCache>
                <c:formatCode>0.0</c:formatCode>
                <c:ptCount val="17"/>
                <c:pt idx="0">
                  <c:v>0.89999999999999991</c:v>
                </c:pt>
                <c:pt idx="1">
                  <c:v>0</c:v>
                </c:pt>
                <c:pt idx="2">
                  <c:v>3.3000000000000003</c:v>
                </c:pt>
                <c:pt idx="3">
                  <c:v>0</c:v>
                </c:pt>
                <c:pt idx="4">
                  <c:v>0</c:v>
                </c:pt>
                <c:pt idx="5">
                  <c:v>0</c:v>
                </c:pt>
                <c:pt idx="6">
                  <c:v>1.7000000000000002</c:v>
                </c:pt>
                <c:pt idx="7">
                  <c:v>0</c:v>
                </c:pt>
                <c:pt idx="8">
                  <c:v>0.2</c:v>
                </c:pt>
                <c:pt idx="9">
                  <c:v>0</c:v>
                </c:pt>
                <c:pt idx="10">
                  <c:v>3.2</c:v>
                </c:pt>
                <c:pt idx="11">
                  <c:v>0</c:v>
                </c:pt>
                <c:pt idx="12">
                  <c:v>0</c:v>
                </c:pt>
                <c:pt idx="13">
                  <c:v>0</c:v>
                </c:pt>
                <c:pt idx="14">
                  <c:v>0.4</c:v>
                </c:pt>
                <c:pt idx="15">
                  <c:v>0.89999999999999991</c:v>
                </c:pt>
                <c:pt idx="16">
                  <c:v>0</c:v>
                </c:pt>
              </c:numCache>
            </c:numRef>
          </c:val>
          <c:extLst>
            <c:ext xmlns:c16="http://schemas.microsoft.com/office/drawing/2014/chart" uri="{C3380CC4-5D6E-409C-BE32-E72D297353CC}">
              <c16:uniqueId val="{00000003-EDFD-4367-8106-D3A437659B3F}"/>
            </c:ext>
          </c:extLst>
        </c:ser>
        <c:ser>
          <c:idx val="4"/>
          <c:order val="4"/>
          <c:tx>
            <c:strRef>
              <c:f>'Q21_Tab 56'!$F$5</c:f>
              <c:strCache>
                <c:ptCount val="1"/>
                <c:pt idx="0">
                  <c:v>Autre(s)</c:v>
                </c:pt>
              </c:strCache>
            </c:strRef>
          </c:tx>
          <c:spPr>
            <a:solidFill>
              <a:schemeClr val="accent5"/>
            </a:solidFill>
            <a:ln>
              <a:noFill/>
            </a:ln>
            <a:effectLst/>
          </c:spPr>
          <c:invertIfNegative val="0"/>
          <c:cat>
            <c:strRef>
              <c:f>'Q21_Tab 56'!$A$6:$A$22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56'!$F$6:$F$22</c:f>
              <c:numCache>
                <c:formatCode>0.0</c:formatCode>
                <c:ptCount val="17"/>
                <c:pt idx="0">
                  <c:v>59.199999999999996</c:v>
                </c:pt>
                <c:pt idx="1">
                  <c:v>78.600000000000009</c:v>
                </c:pt>
                <c:pt idx="2">
                  <c:v>39.1</c:v>
                </c:pt>
                <c:pt idx="3">
                  <c:v>0</c:v>
                </c:pt>
                <c:pt idx="4">
                  <c:v>54.2</c:v>
                </c:pt>
                <c:pt idx="5">
                  <c:v>67.800000000000011</c:v>
                </c:pt>
                <c:pt idx="6">
                  <c:v>65.100000000000009</c:v>
                </c:pt>
                <c:pt idx="7">
                  <c:v>81</c:v>
                </c:pt>
                <c:pt idx="8">
                  <c:v>43.2</c:v>
                </c:pt>
                <c:pt idx="9">
                  <c:v>70.899999999999991</c:v>
                </c:pt>
                <c:pt idx="10">
                  <c:v>35.099999999999994</c:v>
                </c:pt>
                <c:pt idx="11">
                  <c:v>82.399999999999991</c:v>
                </c:pt>
                <c:pt idx="12">
                  <c:v>50.6</c:v>
                </c:pt>
                <c:pt idx="13">
                  <c:v>68.300000000000011</c:v>
                </c:pt>
                <c:pt idx="14">
                  <c:v>79.100000000000009</c:v>
                </c:pt>
                <c:pt idx="15">
                  <c:v>74.099999999999994</c:v>
                </c:pt>
                <c:pt idx="16">
                  <c:v>73.8</c:v>
                </c:pt>
              </c:numCache>
            </c:numRef>
          </c:val>
          <c:extLst>
            <c:ext xmlns:c16="http://schemas.microsoft.com/office/drawing/2014/chart" uri="{C3380CC4-5D6E-409C-BE32-E72D297353CC}">
              <c16:uniqueId val="{00000004-EDFD-4367-8106-D3A437659B3F}"/>
            </c:ext>
          </c:extLst>
        </c:ser>
        <c:dLbls>
          <c:showLegendKey val="0"/>
          <c:showVal val="0"/>
          <c:showCatName val="0"/>
          <c:showSerName val="0"/>
          <c:showPercent val="0"/>
          <c:showBubbleSize val="0"/>
        </c:dLbls>
        <c:gapWidth val="150"/>
        <c:overlap val="100"/>
        <c:axId val="845069152"/>
        <c:axId val="845069480"/>
      </c:barChart>
      <c:catAx>
        <c:axId val="845069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45069480"/>
        <c:crosses val="autoZero"/>
        <c:auto val="1"/>
        <c:lblAlgn val="ctr"/>
        <c:lblOffset val="100"/>
        <c:noMultiLvlLbl val="0"/>
      </c:catAx>
      <c:valAx>
        <c:axId val="845069480"/>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45069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Adaptation de la logistique commerciale,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'Q21_Tab 56'!$B$5</c:f>
              <c:strCache>
                <c:ptCount val="1"/>
                <c:pt idx="0">
                  <c:v>Développement de la vente en ligne</c:v>
                </c:pt>
              </c:strCache>
            </c:strRef>
          </c:tx>
          <c:spPr>
            <a:solidFill>
              <a:schemeClr val="accent1"/>
            </a:solidFill>
            <a:ln>
              <a:noFill/>
            </a:ln>
            <a:effectLst/>
          </c:spPr>
          <c:invertIfNegative val="0"/>
          <c:cat>
            <c:strRef>
              <c:f>'Q21_Tab 56'!$A$6:$A$22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56'!$B$6:$B$22</c:f>
              <c:numCache>
                <c:formatCode>0.0</c:formatCode>
                <c:ptCount val="17"/>
                <c:pt idx="0">
                  <c:v>39.5</c:v>
                </c:pt>
                <c:pt idx="1">
                  <c:v>9.5</c:v>
                </c:pt>
                <c:pt idx="2">
                  <c:v>29.799999999999997</c:v>
                </c:pt>
                <c:pt idx="3">
                  <c:v>0</c:v>
                </c:pt>
                <c:pt idx="4">
                  <c:v>27.900000000000002</c:v>
                </c:pt>
                <c:pt idx="5">
                  <c:v>48.3</c:v>
                </c:pt>
                <c:pt idx="6">
                  <c:v>30.9</c:v>
                </c:pt>
                <c:pt idx="7">
                  <c:v>16.7</c:v>
                </c:pt>
                <c:pt idx="8">
                  <c:v>64.3</c:v>
                </c:pt>
                <c:pt idx="9">
                  <c:v>27.3</c:v>
                </c:pt>
                <c:pt idx="10">
                  <c:v>34.4</c:v>
                </c:pt>
                <c:pt idx="11">
                  <c:v>15.299999999999999</c:v>
                </c:pt>
                <c:pt idx="12">
                  <c:v>59.099999999999994</c:v>
                </c:pt>
                <c:pt idx="13">
                  <c:v>35.299999999999997</c:v>
                </c:pt>
                <c:pt idx="14">
                  <c:v>15.1</c:v>
                </c:pt>
                <c:pt idx="15">
                  <c:v>16.100000000000001</c:v>
                </c:pt>
                <c:pt idx="16">
                  <c:v>25.7</c:v>
                </c:pt>
              </c:numCache>
            </c:numRef>
          </c:val>
          <c:extLst>
            <c:ext xmlns:c16="http://schemas.microsoft.com/office/drawing/2014/chart" uri="{C3380CC4-5D6E-409C-BE32-E72D297353CC}">
              <c16:uniqueId val="{00000000-C2FD-4A08-90BA-E19650383853}"/>
            </c:ext>
          </c:extLst>
        </c:ser>
        <c:ser>
          <c:idx val="1"/>
          <c:order val="1"/>
          <c:tx>
            <c:strRef>
              <c:f>'Q21_Tab 56'!$C$5</c:f>
              <c:strCache>
                <c:ptCount val="1"/>
                <c:pt idx="0">
                  <c:v>Développement de la vente directe</c:v>
                </c:pt>
              </c:strCache>
            </c:strRef>
          </c:tx>
          <c:spPr>
            <a:solidFill>
              <a:schemeClr val="accent2"/>
            </a:solidFill>
            <a:ln>
              <a:noFill/>
            </a:ln>
            <a:effectLst/>
          </c:spPr>
          <c:invertIfNegative val="0"/>
          <c:cat>
            <c:strRef>
              <c:f>'Q21_Tab 56'!$A$6:$A$22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56'!$C$6:$C$22</c:f>
              <c:numCache>
                <c:formatCode>0.0</c:formatCode>
                <c:ptCount val="17"/>
                <c:pt idx="0">
                  <c:v>6.9</c:v>
                </c:pt>
                <c:pt idx="1">
                  <c:v>0</c:v>
                </c:pt>
                <c:pt idx="2">
                  <c:v>14.6</c:v>
                </c:pt>
                <c:pt idx="3">
                  <c:v>0</c:v>
                </c:pt>
                <c:pt idx="4">
                  <c:v>0</c:v>
                </c:pt>
                <c:pt idx="5">
                  <c:v>0</c:v>
                </c:pt>
                <c:pt idx="6">
                  <c:v>6.9</c:v>
                </c:pt>
                <c:pt idx="7">
                  <c:v>0</c:v>
                </c:pt>
                <c:pt idx="8">
                  <c:v>6.2</c:v>
                </c:pt>
                <c:pt idx="9">
                  <c:v>4.8</c:v>
                </c:pt>
                <c:pt idx="10">
                  <c:v>25.1</c:v>
                </c:pt>
                <c:pt idx="11">
                  <c:v>1.9</c:v>
                </c:pt>
                <c:pt idx="12">
                  <c:v>7.8</c:v>
                </c:pt>
                <c:pt idx="13">
                  <c:v>0</c:v>
                </c:pt>
                <c:pt idx="14">
                  <c:v>4</c:v>
                </c:pt>
                <c:pt idx="15">
                  <c:v>4.5</c:v>
                </c:pt>
                <c:pt idx="16">
                  <c:v>2.7</c:v>
                </c:pt>
              </c:numCache>
            </c:numRef>
          </c:val>
          <c:extLst>
            <c:ext xmlns:c16="http://schemas.microsoft.com/office/drawing/2014/chart" uri="{C3380CC4-5D6E-409C-BE32-E72D297353CC}">
              <c16:uniqueId val="{00000001-C2FD-4A08-90BA-E19650383853}"/>
            </c:ext>
          </c:extLst>
        </c:ser>
        <c:ser>
          <c:idx val="2"/>
          <c:order val="2"/>
          <c:tx>
            <c:strRef>
              <c:f>'Q21_Tab 56'!$D$5</c:f>
              <c:strCache>
                <c:ptCount val="1"/>
                <c:pt idx="0">
                  <c:v>Nouveau système de livraison</c:v>
                </c:pt>
              </c:strCache>
            </c:strRef>
          </c:tx>
          <c:spPr>
            <a:solidFill>
              <a:schemeClr val="accent3"/>
            </a:solidFill>
            <a:ln>
              <a:noFill/>
            </a:ln>
            <a:effectLst/>
          </c:spPr>
          <c:invertIfNegative val="0"/>
          <c:cat>
            <c:strRef>
              <c:f>'Q21_Tab 56'!$A$6:$A$22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56'!$D$6:$D$22</c:f>
              <c:numCache>
                <c:formatCode>0.0</c:formatCode>
                <c:ptCount val="17"/>
                <c:pt idx="0">
                  <c:v>13.700000000000001</c:v>
                </c:pt>
                <c:pt idx="1">
                  <c:v>11.899999999999999</c:v>
                </c:pt>
                <c:pt idx="2">
                  <c:v>27.800000000000004</c:v>
                </c:pt>
                <c:pt idx="3">
                  <c:v>0</c:v>
                </c:pt>
                <c:pt idx="4">
                  <c:v>15.299999999999999</c:v>
                </c:pt>
                <c:pt idx="5">
                  <c:v>0</c:v>
                </c:pt>
                <c:pt idx="6">
                  <c:v>12</c:v>
                </c:pt>
                <c:pt idx="7">
                  <c:v>4.8</c:v>
                </c:pt>
                <c:pt idx="8">
                  <c:v>22.400000000000002</c:v>
                </c:pt>
                <c:pt idx="9">
                  <c:v>12.7</c:v>
                </c:pt>
                <c:pt idx="10">
                  <c:v>22.2</c:v>
                </c:pt>
                <c:pt idx="11">
                  <c:v>5.8000000000000007</c:v>
                </c:pt>
                <c:pt idx="12">
                  <c:v>1.0999999999999999</c:v>
                </c:pt>
                <c:pt idx="13">
                  <c:v>19.2</c:v>
                </c:pt>
                <c:pt idx="14">
                  <c:v>4.9000000000000004</c:v>
                </c:pt>
                <c:pt idx="15">
                  <c:v>11.600000000000001</c:v>
                </c:pt>
                <c:pt idx="16">
                  <c:v>4.3</c:v>
                </c:pt>
              </c:numCache>
            </c:numRef>
          </c:val>
          <c:extLst>
            <c:ext xmlns:c16="http://schemas.microsoft.com/office/drawing/2014/chart" uri="{C3380CC4-5D6E-409C-BE32-E72D297353CC}">
              <c16:uniqueId val="{00000002-C2FD-4A08-90BA-E19650383853}"/>
            </c:ext>
          </c:extLst>
        </c:ser>
        <c:ser>
          <c:idx val="3"/>
          <c:order val="3"/>
          <c:tx>
            <c:strRef>
              <c:f>'Q21_Tab 56'!$E$5</c:f>
              <c:strCache>
                <c:ptCount val="1"/>
                <c:pt idx="0">
                  <c:v>Collaboration à une plateforme collaborative locale de vente</c:v>
                </c:pt>
              </c:strCache>
            </c:strRef>
          </c:tx>
          <c:spPr>
            <a:solidFill>
              <a:schemeClr val="accent4"/>
            </a:solidFill>
            <a:ln>
              <a:noFill/>
            </a:ln>
            <a:effectLst/>
          </c:spPr>
          <c:invertIfNegative val="0"/>
          <c:cat>
            <c:strRef>
              <c:f>'Q21_Tab 56'!$A$6:$A$22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56'!$E$6:$E$22</c:f>
              <c:numCache>
                <c:formatCode>0.0</c:formatCode>
                <c:ptCount val="17"/>
                <c:pt idx="0">
                  <c:v>0.89999999999999991</c:v>
                </c:pt>
                <c:pt idx="1">
                  <c:v>0</c:v>
                </c:pt>
                <c:pt idx="2">
                  <c:v>3.3000000000000003</c:v>
                </c:pt>
                <c:pt idx="3">
                  <c:v>0</c:v>
                </c:pt>
                <c:pt idx="4">
                  <c:v>0</c:v>
                </c:pt>
                <c:pt idx="5">
                  <c:v>0</c:v>
                </c:pt>
                <c:pt idx="6">
                  <c:v>1.7000000000000002</c:v>
                </c:pt>
                <c:pt idx="7">
                  <c:v>0</c:v>
                </c:pt>
                <c:pt idx="8">
                  <c:v>0.2</c:v>
                </c:pt>
                <c:pt idx="9">
                  <c:v>0</c:v>
                </c:pt>
                <c:pt idx="10">
                  <c:v>3.2</c:v>
                </c:pt>
                <c:pt idx="11">
                  <c:v>0</c:v>
                </c:pt>
                <c:pt idx="12">
                  <c:v>0</c:v>
                </c:pt>
                <c:pt idx="13">
                  <c:v>0</c:v>
                </c:pt>
                <c:pt idx="14">
                  <c:v>0.4</c:v>
                </c:pt>
                <c:pt idx="15">
                  <c:v>0.89999999999999991</c:v>
                </c:pt>
                <c:pt idx="16">
                  <c:v>0</c:v>
                </c:pt>
              </c:numCache>
            </c:numRef>
          </c:val>
          <c:extLst>
            <c:ext xmlns:c16="http://schemas.microsoft.com/office/drawing/2014/chart" uri="{C3380CC4-5D6E-409C-BE32-E72D297353CC}">
              <c16:uniqueId val="{00000003-C2FD-4A08-90BA-E19650383853}"/>
            </c:ext>
          </c:extLst>
        </c:ser>
        <c:ser>
          <c:idx val="4"/>
          <c:order val="4"/>
          <c:tx>
            <c:strRef>
              <c:f>'Q21_Tab 56'!$F$5</c:f>
              <c:strCache>
                <c:ptCount val="1"/>
                <c:pt idx="0">
                  <c:v>Autre(s)</c:v>
                </c:pt>
              </c:strCache>
            </c:strRef>
          </c:tx>
          <c:spPr>
            <a:solidFill>
              <a:schemeClr val="accent5"/>
            </a:solidFill>
            <a:ln>
              <a:noFill/>
            </a:ln>
            <a:effectLst/>
          </c:spPr>
          <c:invertIfNegative val="0"/>
          <c:cat>
            <c:strRef>
              <c:f>'Q21_Tab 56'!$A$6:$A$22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56'!$F$6:$F$22</c:f>
              <c:numCache>
                <c:formatCode>0.0</c:formatCode>
                <c:ptCount val="17"/>
                <c:pt idx="0">
                  <c:v>59.199999999999996</c:v>
                </c:pt>
                <c:pt idx="1">
                  <c:v>78.600000000000009</c:v>
                </c:pt>
                <c:pt idx="2">
                  <c:v>39.1</c:v>
                </c:pt>
                <c:pt idx="3">
                  <c:v>0</c:v>
                </c:pt>
                <c:pt idx="4">
                  <c:v>54.2</c:v>
                </c:pt>
                <c:pt idx="5">
                  <c:v>67.800000000000011</c:v>
                </c:pt>
                <c:pt idx="6">
                  <c:v>65.100000000000009</c:v>
                </c:pt>
                <c:pt idx="7">
                  <c:v>81</c:v>
                </c:pt>
                <c:pt idx="8">
                  <c:v>43.2</c:v>
                </c:pt>
                <c:pt idx="9">
                  <c:v>70.899999999999991</c:v>
                </c:pt>
                <c:pt idx="10">
                  <c:v>35.099999999999994</c:v>
                </c:pt>
                <c:pt idx="11">
                  <c:v>82.399999999999991</c:v>
                </c:pt>
                <c:pt idx="12">
                  <c:v>50.6</c:v>
                </c:pt>
                <c:pt idx="13">
                  <c:v>68.300000000000011</c:v>
                </c:pt>
                <c:pt idx="14">
                  <c:v>79.100000000000009</c:v>
                </c:pt>
                <c:pt idx="15">
                  <c:v>74.099999999999994</c:v>
                </c:pt>
                <c:pt idx="16">
                  <c:v>73.8</c:v>
                </c:pt>
              </c:numCache>
            </c:numRef>
          </c:val>
          <c:extLst>
            <c:ext xmlns:c16="http://schemas.microsoft.com/office/drawing/2014/chart" uri="{C3380CC4-5D6E-409C-BE32-E72D297353CC}">
              <c16:uniqueId val="{00000004-C2FD-4A08-90BA-E19650383853}"/>
            </c:ext>
          </c:extLst>
        </c:ser>
        <c:dLbls>
          <c:showLegendKey val="0"/>
          <c:showVal val="0"/>
          <c:showCatName val="0"/>
          <c:showSerName val="0"/>
          <c:showPercent val="0"/>
          <c:showBubbleSize val="0"/>
        </c:dLbls>
        <c:gapWidth val="150"/>
        <c:overlap val="100"/>
        <c:axId val="845069152"/>
        <c:axId val="845069480"/>
      </c:barChart>
      <c:catAx>
        <c:axId val="845069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845069480"/>
        <c:crosses val="autoZero"/>
        <c:auto val="1"/>
        <c:lblAlgn val="ctr"/>
        <c:lblOffset val="100"/>
        <c:noMultiLvlLbl val="0"/>
      </c:catAx>
      <c:valAx>
        <c:axId val="845069480"/>
        <c:scaling>
          <c:orientation val="minMax"/>
          <c:max val="14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45069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6">
                  <a:shade val="47000"/>
                </a:schemeClr>
              </a:solidFill>
              <a:ln w="19050">
                <a:solidFill>
                  <a:schemeClr val="lt1"/>
                </a:solidFill>
              </a:ln>
              <a:effectLst/>
            </c:spPr>
            <c:extLst>
              <c:ext xmlns:c16="http://schemas.microsoft.com/office/drawing/2014/chart" uri="{C3380CC4-5D6E-409C-BE32-E72D297353CC}">
                <c16:uniqueId val="{00000001-EADD-4888-81EC-0A97C0086DFB}"/>
              </c:ext>
            </c:extLst>
          </c:dPt>
          <c:dPt>
            <c:idx val="1"/>
            <c:bubble3D val="0"/>
            <c:spPr>
              <a:solidFill>
                <a:schemeClr val="accent6">
                  <a:shade val="65000"/>
                </a:schemeClr>
              </a:solidFill>
              <a:ln w="19050">
                <a:solidFill>
                  <a:schemeClr val="lt1"/>
                </a:solidFill>
              </a:ln>
              <a:effectLst/>
            </c:spPr>
            <c:extLst>
              <c:ext xmlns:c16="http://schemas.microsoft.com/office/drawing/2014/chart" uri="{C3380CC4-5D6E-409C-BE32-E72D297353CC}">
                <c16:uniqueId val="{00000003-EADD-4888-81EC-0A97C0086DFB}"/>
              </c:ext>
            </c:extLst>
          </c:dPt>
          <c:dPt>
            <c:idx val="2"/>
            <c:bubble3D val="0"/>
            <c:spPr>
              <a:solidFill>
                <a:schemeClr val="accent6">
                  <a:shade val="82000"/>
                </a:schemeClr>
              </a:solidFill>
              <a:ln w="19050">
                <a:solidFill>
                  <a:schemeClr val="lt1"/>
                </a:solidFill>
              </a:ln>
              <a:effectLst/>
            </c:spPr>
            <c:extLst>
              <c:ext xmlns:c16="http://schemas.microsoft.com/office/drawing/2014/chart" uri="{C3380CC4-5D6E-409C-BE32-E72D297353CC}">
                <c16:uniqueId val="{00000005-EADD-4888-81EC-0A97C0086DFB}"/>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EADD-4888-81EC-0A97C0086DFB}"/>
              </c:ext>
            </c:extLst>
          </c:dPt>
          <c:dPt>
            <c:idx val="4"/>
            <c:bubble3D val="0"/>
            <c:spPr>
              <a:solidFill>
                <a:schemeClr val="accent6">
                  <a:tint val="83000"/>
                </a:schemeClr>
              </a:solidFill>
              <a:ln w="19050">
                <a:solidFill>
                  <a:schemeClr val="lt1"/>
                </a:solidFill>
              </a:ln>
              <a:effectLst/>
            </c:spPr>
            <c:extLst>
              <c:ext xmlns:c16="http://schemas.microsoft.com/office/drawing/2014/chart" uri="{C3380CC4-5D6E-409C-BE32-E72D297353CC}">
                <c16:uniqueId val="{00000009-EADD-4888-81EC-0A97C0086DFB}"/>
              </c:ext>
            </c:extLst>
          </c:dPt>
          <c:dPt>
            <c:idx val="5"/>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B-EADD-4888-81EC-0A97C0086DFB}"/>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'Q22_Tab 57'!$A$5:$A$10</c:f>
              <c:strCache>
                <c:ptCount val="6"/>
                <c:pt idx="0">
                  <c:v>L'activité n'a pas été affectée ou est déjà revenue à la normale</c:v>
                </c:pt>
                <c:pt idx="1">
                  <c:v>L'activité reviendra très vite à la normale, d’ici un mois</c:v>
                </c:pt>
                <c:pt idx="2">
                  <c:v>L'activité reviendra à la normale d’ici deux ou trois mois</c:v>
                </c:pt>
                <c:pt idx="3">
                  <c:v>L'activité mettra plus de trois mois à revenir à la normale</c:v>
                </c:pt>
                <c:pt idx="4">
                  <c:v>L'activité a été affectée de manière plus durable et ne reviendra pas à la situation antérieure avant la fin de l'année</c:v>
                </c:pt>
                <c:pt idx="5">
                  <c:v>Ne sais pas</c:v>
                </c:pt>
              </c:strCache>
            </c:strRef>
          </c:cat>
          <c:val>
            <c:numRef>
              <c:f>'Q22_Tab 57'!$B$5:$B$10</c:f>
              <c:numCache>
                <c:formatCode>0.0</c:formatCode>
                <c:ptCount val="6"/>
                <c:pt idx="0">
                  <c:v>17.8</c:v>
                </c:pt>
                <c:pt idx="1">
                  <c:v>7.8</c:v>
                </c:pt>
                <c:pt idx="2">
                  <c:v>18.5</c:v>
                </c:pt>
                <c:pt idx="3">
                  <c:v>14.2</c:v>
                </c:pt>
                <c:pt idx="4">
                  <c:v>20.3</c:v>
                </c:pt>
                <c:pt idx="5">
                  <c:v>21.4</c:v>
                </c:pt>
              </c:numCache>
            </c:numRef>
          </c:val>
          <c:extLst>
            <c:ext xmlns:c16="http://schemas.microsoft.com/office/drawing/2014/chart" uri="{C3380CC4-5D6E-409C-BE32-E72D297353CC}">
              <c16:uniqueId val="{0000000E-EADD-4888-81EC-0A97C0086DFB}"/>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F1-4DE0-A929-BD5A9228FE4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F1-4DE0-A929-BD5A9228FE4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F1-4DE0-A929-BD5A9228FE4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F1-4DE0-A929-BD5A9228FE4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F1-4DE0-A929-BD5A9228FE4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F1-4DE0-A929-BD5A9228FE43}"/>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'Q22_Tab 57'!$A$5:$A$10</c:f>
              <c:strCache>
                <c:ptCount val="6"/>
                <c:pt idx="0">
                  <c:v>L'activité n'a pas été affectée ou est déjà revenue à la normale</c:v>
                </c:pt>
                <c:pt idx="1">
                  <c:v>L'activité reviendra très vite à la normale, d’ici un mois</c:v>
                </c:pt>
                <c:pt idx="2">
                  <c:v>L'activité reviendra à la normale d’ici deux ou trois mois</c:v>
                </c:pt>
                <c:pt idx="3">
                  <c:v>L'activité mettra plus de trois mois à revenir à la normale</c:v>
                </c:pt>
                <c:pt idx="4">
                  <c:v>L'activité a été affectée de manière plus durable et ne reviendra pas à la situation antérieure avant la fin de l'année</c:v>
                </c:pt>
                <c:pt idx="5">
                  <c:v>Ne sais pas</c:v>
                </c:pt>
              </c:strCache>
            </c:strRef>
          </c:cat>
          <c:val>
            <c:numRef>
              <c:f>'Q22_Tab 57'!$B$5:$B$10</c:f>
              <c:numCache>
                <c:formatCode>0.0</c:formatCode>
                <c:ptCount val="6"/>
                <c:pt idx="0">
                  <c:v>17.8</c:v>
                </c:pt>
                <c:pt idx="1">
                  <c:v>7.8</c:v>
                </c:pt>
                <c:pt idx="2">
                  <c:v>18.5</c:v>
                </c:pt>
                <c:pt idx="3">
                  <c:v>14.2</c:v>
                </c:pt>
                <c:pt idx="4">
                  <c:v>20.3</c:v>
                </c:pt>
                <c:pt idx="5">
                  <c:v>21.4</c:v>
                </c:pt>
              </c:numCache>
            </c:numRef>
          </c:val>
          <c:extLst>
            <c:ext xmlns:c16="http://schemas.microsoft.com/office/drawing/2014/chart" uri="{C3380CC4-5D6E-409C-BE32-E72D297353CC}">
              <c16:uniqueId val="{0000000C-95F1-4DE0-A929-BD5A9228FE43}"/>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'Q4_Tab 7'!$B$4</c:f>
              <c:strCache>
                <c:ptCount val="1"/>
                <c:pt idx="0">
                  <c:v>Gestion des questions sanitaires</c:v>
                </c:pt>
              </c:strCache>
            </c:strRef>
          </c:tx>
          <c:spPr>
            <a:solidFill>
              <a:schemeClr val="accent1"/>
            </a:solidFill>
            <a:ln>
              <a:noFill/>
            </a:ln>
            <a:effectLst/>
          </c:spPr>
          <c:invertIfNegative val="0"/>
          <c:cat>
            <c:strRef>
              <c:f>'Q4_Tab 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7'!$B$5:$B$21</c:f>
              <c:numCache>
                <c:formatCode>0.0</c:formatCode>
                <c:ptCount val="17"/>
                <c:pt idx="0">
                  <c:v>34.1</c:v>
                </c:pt>
                <c:pt idx="1">
                  <c:v>29.599999999999998</c:v>
                </c:pt>
                <c:pt idx="2">
                  <c:v>31.900000000000002</c:v>
                </c:pt>
                <c:pt idx="3">
                  <c:v>4.3</c:v>
                </c:pt>
                <c:pt idx="4">
                  <c:v>29.599999999999998</c:v>
                </c:pt>
                <c:pt idx="5">
                  <c:v>35.9</c:v>
                </c:pt>
                <c:pt idx="6">
                  <c:v>23.599999999999998</c:v>
                </c:pt>
                <c:pt idx="7">
                  <c:v>27.1</c:v>
                </c:pt>
                <c:pt idx="8">
                  <c:v>31.5</c:v>
                </c:pt>
                <c:pt idx="9">
                  <c:v>40.400000000000006</c:v>
                </c:pt>
                <c:pt idx="10">
                  <c:v>32.5</c:v>
                </c:pt>
                <c:pt idx="11">
                  <c:v>41.8</c:v>
                </c:pt>
                <c:pt idx="12">
                  <c:v>37.799999999999997</c:v>
                </c:pt>
                <c:pt idx="13">
                  <c:v>40.1</c:v>
                </c:pt>
                <c:pt idx="14">
                  <c:v>27.200000000000003</c:v>
                </c:pt>
                <c:pt idx="15">
                  <c:v>46.300000000000004</c:v>
                </c:pt>
                <c:pt idx="16">
                  <c:v>34.4</c:v>
                </c:pt>
              </c:numCache>
            </c:numRef>
          </c:val>
          <c:extLst>
            <c:ext xmlns:c16="http://schemas.microsoft.com/office/drawing/2014/chart" uri="{C3380CC4-5D6E-409C-BE32-E72D297353CC}">
              <c16:uniqueId val="{00000000-FFD6-4AE5-A658-A7DF81080BF8}"/>
            </c:ext>
          </c:extLst>
        </c:ser>
        <c:ser>
          <c:idx val="1"/>
          <c:order val="1"/>
          <c:tx>
            <c:strRef>
              <c:f>'Q4_Tab 7'!$C$4</c:f>
              <c:strCache>
                <c:ptCount val="1"/>
                <c:pt idx="0">
                  <c:v>Difficultés financières</c:v>
                </c:pt>
              </c:strCache>
            </c:strRef>
          </c:tx>
          <c:spPr>
            <a:solidFill>
              <a:schemeClr val="accent2"/>
            </a:solidFill>
            <a:ln>
              <a:noFill/>
            </a:ln>
            <a:effectLst/>
          </c:spPr>
          <c:invertIfNegative val="0"/>
          <c:cat>
            <c:strRef>
              <c:f>'Q4_Tab 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7'!$C$5:$C$21</c:f>
              <c:numCache>
                <c:formatCode>0.0</c:formatCode>
                <c:ptCount val="17"/>
                <c:pt idx="0">
                  <c:v>30.2</c:v>
                </c:pt>
                <c:pt idx="1">
                  <c:v>40.1</c:v>
                </c:pt>
                <c:pt idx="2">
                  <c:v>16.5</c:v>
                </c:pt>
                <c:pt idx="3">
                  <c:v>0</c:v>
                </c:pt>
                <c:pt idx="4">
                  <c:v>31.3</c:v>
                </c:pt>
                <c:pt idx="5">
                  <c:v>37.4</c:v>
                </c:pt>
                <c:pt idx="6">
                  <c:v>28.799999999999997</c:v>
                </c:pt>
                <c:pt idx="7">
                  <c:v>25.8</c:v>
                </c:pt>
                <c:pt idx="8">
                  <c:v>30.7</c:v>
                </c:pt>
                <c:pt idx="9">
                  <c:v>35.5</c:v>
                </c:pt>
                <c:pt idx="10">
                  <c:v>48.4</c:v>
                </c:pt>
                <c:pt idx="11">
                  <c:v>40.699999999999996</c:v>
                </c:pt>
                <c:pt idx="12">
                  <c:v>9.5</c:v>
                </c:pt>
                <c:pt idx="13">
                  <c:v>14.299999999999999</c:v>
                </c:pt>
                <c:pt idx="14">
                  <c:v>35.299999999999997</c:v>
                </c:pt>
                <c:pt idx="15">
                  <c:v>23.400000000000002</c:v>
                </c:pt>
                <c:pt idx="16">
                  <c:v>33</c:v>
                </c:pt>
              </c:numCache>
            </c:numRef>
          </c:val>
          <c:extLst>
            <c:ext xmlns:c16="http://schemas.microsoft.com/office/drawing/2014/chart" uri="{C3380CC4-5D6E-409C-BE32-E72D297353CC}">
              <c16:uniqueId val="{00000001-FFD6-4AE5-A658-A7DF81080BF8}"/>
            </c:ext>
          </c:extLst>
        </c:ser>
        <c:ser>
          <c:idx val="2"/>
          <c:order val="2"/>
          <c:tx>
            <c:strRef>
              <c:f>'Q4_Tab 7'!$D$4</c:f>
              <c:strCache>
                <c:ptCount val="1"/>
                <c:pt idx="0">
                  <c:v>Manque de débouchés</c:v>
                </c:pt>
              </c:strCache>
            </c:strRef>
          </c:tx>
          <c:spPr>
            <a:solidFill>
              <a:schemeClr val="accent3"/>
            </a:solidFill>
            <a:ln>
              <a:noFill/>
            </a:ln>
            <a:effectLst/>
          </c:spPr>
          <c:invertIfNegative val="0"/>
          <c:cat>
            <c:strRef>
              <c:f>'Q4_Tab 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7'!$D$5:$D$21</c:f>
              <c:numCache>
                <c:formatCode>0.0</c:formatCode>
                <c:ptCount val="17"/>
                <c:pt idx="0">
                  <c:v>31.6</c:v>
                </c:pt>
                <c:pt idx="1">
                  <c:v>25.8</c:v>
                </c:pt>
                <c:pt idx="2">
                  <c:v>38.700000000000003</c:v>
                </c:pt>
                <c:pt idx="3">
                  <c:v>0</c:v>
                </c:pt>
                <c:pt idx="4">
                  <c:v>43.1</c:v>
                </c:pt>
                <c:pt idx="5">
                  <c:v>58.8</c:v>
                </c:pt>
                <c:pt idx="6">
                  <c:v>48.5</c:v>
                </c:pt>
                <c:pt idx="7">
                  <c:v>24</c:v>
                </c:pt>
                <c:pt idx="8">
                  <c:v>23.400000000000002</c:v>
                </c:pt>
                <c:pt idx="9">
                  <c:v>38.5</c:v>
                </c:pt>
                <c:pt idx="10">
                  <c:v>34</c:v>
                </c:pt>
                <c:pt idx="11">
                  <c:v>48.699999999999996</c:v>
                </c:pt>
                <c:pt idx="12">
                  <c:v>32.1</c:v>
                </c:pt>
                <c:pt idx="13">
                  <c:v>8.1</c:v>
                </c:pt>
                <c:pt idx="14">
                  <c:v>37.1</c:v>
                </c:pt>
                <c:pt idx="15">
                  <c:v>15.299999999999999</c:v>
                </c:pt>
                <c:pt idx="16">
                  <c:v>23.9</c:v>
                </c:pt>
              </c:numCache>
            </c:numRef>
          </c:val>
          <c:extLst>
            <c:ext xmlns:c16="http://schemas.microsoft.com/office/drawing/2014/chart" uri="{C3380CC4-5D6E-409C-BE32-E72D297353CC}">
              <c16:uniqueId val="{00000002-FFD6-4AE5-A658-A7DF81080BF8}"/>
            </c:ext>
          </c:extLst>
        </c:ser>
        <c:ser>
          <c:idx val="3"/>
          <c:order val="3"/>
          <c:tx>
            <c:strRef>
              <c:f>'Q4_Tab 7'!$E$4</c:f>
              <c:strCache>
                <c:ptCount val="1"/>
                <c:pt idx="0">
                  <c:v>Difficultés d'approvisionnement</c:v>
                </c:pt>
              </c:strCache>
            </c:strRef>
          </c:tx>
          <c:spPr>
            <a:solidFill>
              <a:schemeClr val="accent4"/>
            </a:solidFill>
            <a:ln>
              <a:noFill/>
            </a:ln>
            <a:effectLst/>
          </c:spPr>
          <c:invertIfNegative val="0"/>
          <c:cat>
            <c:strRef>
              <c:f>'Q4_Tab 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7'!$E$5:$E$21</c:f>
              <c:numCache>
                <c:formatCode>0.0</c:formatCode>
                <c:ptCount val="17"/>
                <c:pt idx="0">
                  <c:v>14.000000000000002</c:v>
                </c:pt>
                <c:pt idx="1">
                  <c:v>7.5</c:v>
                </c:pt>
                <c:pt idx="2">
                  <c:v>10.299999999999999</c:v>
                </c:pt>
                <c:pt idx="3">
                  <c:v>0</c:v>
                </c:pt>
                <c:pt idx="4">
                  <c:v>32.5</c:v>
                </c:pt>
                <c:pt idx="5">
                  <c:v>42.699999999999996</c:v>
                </c:pt>
                <c:pt idx="6">
                  <c:v>19.600000000000001</c:v>
                </c:pt>
                <c:pt idx="7">
                  <c:v>23.200000000000003</c:v>
                </c:pt>
                <c:pt idx="8">
                  <c:v>23</c:v>
                </c:pt>
                <c:pt idx="9">
                  <c:v>13.700000000000001</c:v>
                </c:pt>
                <c:pt idx="10">
                  <c:v>6.4</c:v>
                </c:pt>
                <c:pt idx="11">
                  <c:v>4.1000000000000005</c:v>
                </c:pt>
                <c:pt idx="12">
                  <c:v>2.8000000000000003</c:v>
                </c:pt>
                <c:pt idx="13">
                  <c:v>4.7</c:v>
                </c:pt>
                <c:pt idx="14">
                  <c:v>8.2000000000000011</c:v>
                </c:pt>
                <c:pt idx="15">
                  <c:v>9.9</c:v>
                </c:pt>
                <c:pt idx="16">
                  <c:v>5.0999999999999996</c:v>
                </c:pt>
              </c:numCache>
            </c:numRef>
          </c:val>
          <c:extLst>
            <c:ext xmlns:c16="http://schemas.microsoft.com/office/drawing/2014/chart" uri="{C3380CC4-5D6E-409C-BE32-E72D297353CC}">
              <c16:uniqueId val="{00000003-FFD6-4AE5-A658-A7DF81080BF8}"/>
            </c:ext>
          </c:extLst>
        </c:ser>
        <c:ser>
          <c:idx val="4"/>
          <c:order val="4"/>
          <c:tx>
            <c:strRef>
              <c:f>'Q4_Tab 7'!$F$4</c:f>
              <c:strCache>
                <c:ptCount val="1"/>
                <c:pt idx="0">
                  <c:v>Fermeture administrative</c:v>
                </c:pt>
              </c:strCache>
            </c:strRef>
          </c:tx>
          <c:spPr>
            <a:solidFill>
              <a:schemeClr val="accent5"/>
            </a:solidFill>
            <a:ln>
              <a:noFill/>
            </a:ln>
            <a:effectLst/>
          </c:spPr>
          <c:invertIfNegative val="0"/>
          <c:cat>
            <c:strRef>
              <c:f>'Q4_Tab 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7'!$F$5:$F$21</c:f>
              <c:numCache>
                <c:formatCode>0.0</c:formatCode>
                <c:ptCount val="17"/>
                <c:pt idx="0">
                  <c:v>7.5</c:v>
                </c:pt>
                <c:pt idx="1">
                  <c:v>9</c:v>
                </c:pt>
                <c:pt idx="2">
                  <c:v>4.8</c:v>
                </c:pt>
                <c:pt idx="3">
                  <c:v>0</c:v>
                </c:pt>
                <c:pt idx="4">
                  <c:v>1.6</c:v>
                </c:pt>
                <c:pt idx="5">
                  <c:v>0</c:v>
                </c:pt>
                <c:pt idx="6">
                  <c:v>2.8000000000000003</c:v>
                </c:pt>
                <c:pt idx="7">
                  <c:v>5.7</c:v>
                </c:pt>
                <c:pt idx="8">
                  <c:v>4.5</c:v>
                </c:pt>
                <c:pt idx="9">
                  <c:v>4.8</c:v>
                </c:pt>
                <c:pt idx="10">
                  <c:v>29.4</c:v>
                </c:pt>
                <c:pt idx="11">
                  <c:v>3</c:v>
                </c:pt>
                <c:pt idx="12">
                  <c:v>4.5999999999999996</c:v>
                </c:pt>
                <c:pt idx="13">
                  <c:v>6.9</c:v>
                </c:pt>
                <c:pt idx="14">
                  <c:v>12.1</c:v>
                </c:pt>
                <c:pt idx="15">
                  <c:v>6.2</c:v>
                </c:pt>
                <c:pt idx="16">
                  <c:v>22.900000000000002</c:v>
                </c:pt>
              </c:numCache>
            </c:numRef>
          </c:val>
          <c:extLst>
            <c:ext xmlns:c16="http://schemas.microsoft.com/office/drawing/2014/chart" uri="{C3380CC4-5D6E-409C-BE32-E72D297353CC}">
              <c16:uniqueId val="{00000004-FFD6-4AE5-A658-A7DF81080BF8}"/>
            </c:ext>
          </c:extLst>
        </c:ser>
        <c:ser>
          <c:idx val="5"/>
          <c:order val="5"/>
          <c:tx>
            <c:strRef>
              <c:f>'Q4_Tab 7'!$G$4</c:f>
              <c:strCache>
                <c:ptCount val="1"/>
                <c:pt idx="0">
                  <c:v>Manque de personnel</c:v>
                </c:pt>
              </c:strCache>
            </c:strRef>
          </c:tx>
          <c:spPr>
            <a:solidFill>
              <a:schemeClr val="accent6"/>
            </a:solidFill>
            <a:ln>
              <a:noFill/>
            </a:ln>
            <a:effectLst/>
          </c:spPr>
          <c:invertIfNegative val="0"/>
          <c:cat>
            <c:strRef>
              <c:f>'Q4_Tab 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7'!$G$5:$G$21</c:f>
              <c:numCache>
                <c:formatCode>0.0</c:formatCode>
                <c:ptCount val="17"/>
                <c:pt idx="0">
                  <c:v>15.8</c:v>
                </c:pt>
                <c:pt idx="1">
                  <c:v>4.5</c:v>
                </c:pt>
                <c:pt idx="2">
                  <c:v>16.2</c:v>
                </c:pt>
                <c:pt idx="3">
                  <c:v>0</c:v>
                </c:pt>
                <c:pt idx="4">
                  <c:v>7.5</c:v>
                </c:pt>
                <c:pt idx="5">
                  <c:v>14.000000000000002</c:v>
                </c:pt>
                <c:pt idx="6">
                  <c:v>14.499999999999998</c:v>
                </c:pt>
                <c:pt idx="7">
                  <c:v>14.899999999999999</c:v>
                </c:pt>
                <c:pt idx="8">
                  <c:v>23.599999999999998</c:v>
                </c:pt>
                <c:pt idx="9">
                  <c:v>12</c:v>
                </c:pt>
                <c:pt idx="10">
                  <c:v>5</c:v>
                </c:pt>
                <c:pt idx="11">
                  <c:v>4.1000000000000005</c:v>
                </c:pt>
                <c:pt idx="12">
                  <c:v>9.9</c:v>
                </c:pt>
                <c:pt idx="13">
                  <c:v>9.4</c:v>
                </c:pt>
                <c:pt idx="14">
                  <c:v>10.8</c:v>
                </c:pt>
                <c:pt idx="15">
                  <c:v>28.999999999999996</c:v>
                </c:pt>
                <c:pt idx="16">
                  <c:v>13.200000000000001</c:v>
                </c:pt>
              </c:numCache>
            </c:numRef>
          </c:val>
          <c:extLst>
            <c:ext xmlns:c16="http://schemas.microsoft.com/office/drawing/2014/chart" uri="{C3380CC4-5D6E-409C-BE32-E72D297353CC}">
              <c16:uniqueId val="{00000005-FFD6-4AE5-A658-A7DF81080BF8}"/>
            </c:ext>
          </c:extLst>
        </c:ser>
        <c:ser>
          <c:idx val="6"/>
          <c:order val="6"/>
          <c:tx>
            <c:strRef>
              <c:f>'Q4_Tab 7'!$H$4</c:f>
              <c:strCache>
                <c:ptCount val="1"/>
                <c:pt idx="0">
                  <c:v>Autre(s)</c:v>
                </c:pt>
              </c:strCache>
            </c:strRef>
          </c:tx>
          <c:spPr>
            <a:solidFill>
              <a:schemeClr val="accent1">
                <a:lumMod val="60000"/>
              </a:schemeClr>
            </a:solidFill>
            <a:ln>
              <a:noFill/>
            </a:ln>
            <a:effectLst/>
          </c:spPr>
          <c:invertIfNegative val="0"/>
          <c:cat>
            <c:strRef>
              <c:f>'Q4_Tab 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7'!$H$5:$H$21</c:f>
              <c:numCache>
                <c:formatCode>0.0</c:formatCode>
                <c:ptCount val="17"/>
                <c:pt idx="0">
                  <c:v>21</c:v>
                </c:pt>
                <c:pt idx="1">
                  <c:v>18.5</c:v>
                </c:pt>
                <c:pt idx="2">
                  <c:v>20.9</c:v>
                </c:pt>
                <c:pt idx="3">
                  <c:v>0</c:v>
                </c:pt>
                <c:pt idx="4">
                  <c:v>16.600000000000001</c:v>
                </c:pt>
                <c:pt idx="5">
                  <c:v>7.3999999999999995</c:v>
                </c:pt>
                <c:pt idx="6">
                  <c:v>14.899999999999999</c:v>
                </c:pt>
                <c:pt idx="7">
                  <c:v>22</c:v>
                </c:pt>
                <c:pt idx="8">
                  <c:v>20.8</c:v>
                </c:pt>
                <c:pt idx="9">
                  <c:v>14.099999999999998</c:v>
                </c:pt>
                <c:pt idx="10">
                  <c:v>15.4</c:v>
                </c:pt>
                <c:pt idx="11">
                  <c:v>21</c:v>
                </c:pt>
                <c:pt idx="12">
                  <c:v>29.9</c:v>
                </c:pt>
                <c:pt idx="13">
                  <c:v>35.6</c:v>
                </c:pt>
                <c:pt idx="14">
                  <c:v>26.1</c:v>
                </c:pt>
                <c:pt idx="15">
                  <c:v>22.3</c:v>
                </c:pt>
                <c:pt idx="16">
                  <c:v>25</c:v>
                </c:pt>
              </c:numCache>
            </c:numRef>
          </c:val>
          <c:extLst>
            <c:ext xmlns:c16="http://schemas.microsoft.com/office/drawing/2014/chart" uri="{C3380CC4-5D6E-409C-BE32-E72D297353CC}">
              <c16:uniqueId val="{00000006-FFD6-4AE5-A658-A7DF81080BF8}"/>
            </c:ext>
          </c:extLst>
        </c:ser>
        <c:ser>
          <c:idx val="7"/>
          <c:order val="7"/>
          <c:tx>
            <c:strRef>
              <c:f>'Q4_Tab 7'!$I$4</c:f>
              <c:strCache>
                <c:ptCount val="1"/>
                <c:pt idx="0">
                  <c:v>Difficultés liées à l'aval</c:v>
                </c:pt>
              </c:strCache>
            </c:strRef>
          </c:tx>
          <c:spPr>
            <a:solidFill>
              <a:schemeClr val="accent2">
                <a:lumMod val="60000"/>
              </a:schemeClr>
            </a:solidFill>
            <a:ln>
              <a:noFill/>
            </a:ln>
            <a:effectLst/>
          </c:spPr>
          <c:invertIfNegative val="0"/>
          <c:cat>
            <c:strRef>
              <c:f>'Q4_Tab 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7'!$I$5:$I$21</c:f>
              <c:numCache>
                <c:formatCode>0.0</c:formatCode>
                <c:ptCount val="17"/>
                <c:pt idx="0">
                  <c:v>7.0000000000000009</c:v>
                </c:pt>
                <c:pt idx="1">
                  <c:v>18.7</c:v>
                </c:pt>
                <c:pt idx="2">
                  <c:v>5.3</c:v>
                </c:pt>
                <c:pt idx="3">
                  <c:v>0</c:v>
                </c:pt>
                <c:pt idx="4">
                  <c:v>10.199999999999999</c:v>
                </c:pt>
                <c:pt idx="5">
                  <c:v>0</c:v>
                </c:pt>
                <c:pt idx="6">
                  <c:v>8.6999999999999993</c:v>
                </c:pt>
                <c:pt idx="7">
                  <c:v>8.2000000000000011</c:v>
                </c:pt>
                <c:pt idx="8">
                  <c:v>11.600000000000001</c:v>
                </c:pt>
                <c:pt idx="9">
                  <c:v>5.5</c:v>
                </c:pt>
                <c:pt idx="10">
                  <c:v>3.5999999999999996</c:v>
                </c:pt>
                <c:pt idx="11">
                  <c:v>4.8</c:v>
                </c:pt>
                <c:pt idx="12">
                  <c:v>4.5</c:v>
                </c:pt>
                <c:pt idx="13">
                  <c:v>8.7999999999999989</c:v>
                </c:pt>
                <c:pt idx="14">
                  <c:v>5.5</c:v>
                </c:pt>
                <c:pt idx="15">
                  <c:v>4.5999999999999996</c:v>
                </c:pt>
                <c:pt idx="16">
                  <c:v>6.9</c:v>
                </c:pt>
              </c:numCache>
            </c:numRef>
          </c:val>
          <c:extLst>
            <c:ext xmlns:c16="http://schemas.microsoft.com/office/drawing/2014/chart" uri="{C3380CC4-5D6E-409C-BE32-E72D297353CC}">
              <c16:uniqueId val="{00000007-FFD6-4AE5-A658-A7DF81080BF8}"/>
            </c:ext>
          </c:extLst>
        </c:ser>
        <c:dLbls>
          <c:showLegendKey val="0"/>
          <c:showVal val="0"/>
          <c:showCatName val="0"/>
          <c:showSerName val="0"/>
          <c:showPercent val="0"/>
          <c:showBubbleSize val="0"/>
        </c:dLbls>
        <c:gapWidth val="150"/>
        <c:overlap val="100"/>
        <c:axId val="547739688"/>
        <c:axId val="547733456"/>
      </c:barChart>
      <c:catAx>
        <c:axId val="547739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7733456"/>
        <c:crosses val="autoZero"/>
        <c:auto val="1"/>
        <c:lblAlgn val="ctr"/>
        <c:lblOffset val="100"/>
        <c:noMultiLvlLbl val="0"/>
      </c:catAx>
      <c:valAx>
        <c:axId val="547733456"/>
        <c:scaling>
          <c:orientation val="minMax"/>
          <c:max val="260"/>
          <c:min val="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7739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'Q22_Tab 58'!$A$5</c:f>
              <c:strCache>
                <c:ptCount val="1"/>
                <c:pt idx="0">
                  <c:v>L'activité n'a pas été affectée ou est déjà revenue à la normale</c:v>
                </c:pt>
              </c:strCache>
            </c:strRef>
          </c:tx>
          <c:spPr>
            <a:solidFill>
              <a:schemeClr val="accent6">
                <a:shade val="50000"/>
              </a:schemeClr>
            </a:solidFill>
            <a:ln>
              <a:noFill/>
            </a:ln>
            <a:effectLst/>
          </c:spPr>
          <c:invertIfNegative val="0"/>
          <c:cat>
            <c:strRef>
              <c:f>'Q22_Tab 58'!$B$4:$H$4</c:f>
              <c:strCache>
                <c:ptCount val="7"/>
                <c:pt idx="0">
                  <c:v>Ensemble</c:v>
                </c:pt>
                <c:pt idx="1">
                  <c:v>10 - 19</c:v>
                </c:pt>
                <c:pt idx="2">
                  <c:v>20 - 49</c:v>
                </c:pt>
                <c:pt idx="3">
                  <c:v>50 - 99</c:v>
                </c:pt>
                <c:pt idx="4">
                  <c:v>100 - 249</c:v>
                </c:pt>
                <c:pt idx="5">
                  <c:v>250 - 499</c:v>
                </c:pt>
                <c:pt idx="6">
                  <c:v>500 et +</c:v>
                </c:pt>
              </c:strCache>
            </c:strRef>
          </c:cat>
          <c:val>
            <c:numRef>
              <c:f>'Q22_Tab 58'!$B$5:$H$5</c:f>
              <c:numCache>
                <c:formatCode>0.0</c:formatCode>
                <c:ptCount val="7"/>
                <c:pt idx="0">
                  <c:v>17.8</c:v>
                </c:pt>
                <c:pt idx="1">
                  <c:v>20.8</c:v>
                </c:pt>
                <c:pt idx="2">
                  <c:v>19.100000000000001</c:v>
                </c:pt>
                <c:pt idx="3">
                  <c:v>21.5</c:v>
                </c:pt>
                <c:pt idx="4">
                  <c:v>20.5</c:v>
                </c:pt>
                <c:pt idx="5">
                  <c:v>18.5</c:v>
                </c:pt>
                <c:pt idx="6">
                  <c:v>14.299999999999999</c:v>
                </c:pt>
              </c:numCache>
            </c:numRef>
          </c:val>
          <c:extLst>
            <c:ext xmlns:c16="http://schemas.microsoft.com/office/drawing/2014/chart" uri="{C3380CC4-5D6E-409C-BE32-E72D297353CC}">
              <c16:uniqueId val="{00000000-D684-46A3-BB80-3AB0A0C41D35}"/>
            </c:ext>
          </c:extLst>
        </c:ser>
        <c:ser>
          <c:idx val="1"/>
          <c:order val="1"/>
          <c:tx>
            <c:strRef>
              <c:f>'Q22_Tab 58'!$A$6</c:f>
              <c:strCache>
                <c:ptCount val="1"/>
                <c:pt idx="0">
                  <c:v>L'activité reviendra très vite à la normale, d’ici un mois</c:v>
                </c:pt>
              </c:strCache>
            </c:strRef>
          </c:tx>
          <c:spPr>
            <a:solidFill>
              <a:schemeClr val="accent6">
                <a:shade val="70000"/>
              </a:schemeClr>
            </a:solidFill>
            <a:ln>
              <a:noFill/>
            </a:ln>
            <a:effectLst/>
          </c:spPr>
          <c:invertIfNegative val="0"/>
          <c:cat>
            <c:strRef>
              <c:f>'Q22_Tab 58'!$B$4:$H$4</c:f>
              <c:strCache>
                <c:ptCount val="7"/>
                <c:pt idx="0">
                  <c:v>Ensemble</c:v>
                </c:pt>
                <c:pt idx="1">
                  <c:v>10 - 19</c:v>
                </c:pt>
                <c:pt idx="2">
                  <c:v>20 - 49</c:v>
                </c:pt>
                <c:pt idx="3">
                  <c:v>50 - 99</c:v>
                </c:pt>
                <c:pt idx="4">
                  <c:v>100 - 249</c:v>
                </c:pt>
                <c:pt idx="5">
                  <c:v>250 - 499</c:v>
                </c:pt>
                <c:pt idx="6">
                  <c:v>500 et +</c:v>
                </c:pt>
              </c:strCache>
            </c:strRef>
          </c:cat>
          <c:val>
            <c:numRef>
              <c:f>'Q22_Tab 58'!$B$6:$H$6</c:f>
              <c:numCache>
                <c:formatCode>0.0</c:formatCode>
                <c:ptCount val="7"/>
                <c:pt idx="0">
                  <c:v>7.8</c:v>
                </c:pt>
                <c:pt idx="1">
                  <c:v>7.5</c:v>
                </c:pt>
                <c:pt idx="2">
                  <c:v>8.3000000000000007</c:v>
                </c:pt>
                <c:pt idx="3">
                  <c:v>9</c:v>
                </c:pt>
                <c:pt idx="4">
                  <c:v>9.4</c:v>
                </c:pt>
                <c:pt idx="5">
                  <c:v>8.6</c:v>
                </c:pt>
                <c:pt idx="6">
                  <c:v>6.6000000000000005</c:v>
                </c:pt>
              </c:numCache>
            </c:numRef>
          </c:val>
          <c:extLst>
            <c:ext xmlns:c16="http://schemas.microsoft.com/office/drawing/2014/chart" uri="{C3380CC4-5D6E-409C-BE32-E72D297353CC}">
              <c16:uniqueId val="{00000001-D684-46A3-BB80-3AB0A0C41D35}"/>
            </c:ext>
          </c:extLst>
        </c:ser>
        <c:ser>
          <c:idx val="2"/>
          <c:order val="2"/>
          <c:tx>
            <c:strRef>
              <c:f>'Q22_Tab 58'!$A$7</c:f>
              <c:strCache>
                <c:ptCount val="1"/>
                <c:pt idx="0">
                  <c:v>L'activité reviendra à la normale d’ici deux ou trois mois</c:v>
                </c:pt>
              </c:strCache>
            </c:strRef>
          </c:tx>
          <c:spPr>
            <a:solidFill>
              <a:schemeClr val="accent6">
                <a:shade val="90000"/>
              </a:schemeClr>
            </a:solidFill>
            <a:ln>
              <a:noFill/>
            </a:ln>
            <a:effectLst/>
          </c:spPr>
          <c:invertIfNegative val="0"/>
          <c:cat>
            <c:strRef>
              <c:f>'Q22_Tab 58'!$B$4:$H$4</c:f>
              <c:strCache>
                <c:ptCount val="7"/>
                <c:pt idx="0">
                  <c:v>Ensemble</c:v>
                </c:pt>
                <c:pt idx="1">
                  <c:v>10 - 19</c:v>
                </c:pt>
                <c:pt idx="2">
                  <c:v>20 - 49</c:v>
                </c:pt>
                <c:pt idx="3">
                  <c:v>50 - 99</c:v>
                </c:pt>
                <c:pt idx="4">
                  <c:v>100 - 249</c:v>
                </c:pt>
                <c:pt idx="5">
                  <c:v>250 - 499</c:v>
                </c:pt>
                <c:pt idx="6">
                  <c:v>500 et +</c:v>
                </c:pt>
              </c:strCache>
            </c:strRef>
          </c:cat>
          <c:val>
            <c:numRef>
              <c:f>'Q22_Tab 58'!$B$7:$H$7</c:f>
              <c:numCache>
                <c:formatCode>0.0</c:formatCode>
                <c:ptCount val="7"/>
                <c:pt idx="0">
                  <c:v>18.5</c:v>
                </c:pt>
                <c:pt idx="1">
                  <c:v>15.7</c:v>
                </c:pt>
                <c:pt idx="2">
                  <c:v>18.099999999999998</c:v>
                </c:pt>
                <c:pt idx="3">
                  <c:v>19</c:v>
                </c:pt>
                <c:pt idx="4">
                  <c:v>17.5</c:v>
                </c:pt>
                <c:pt idx="5">
                  <c:v>18.3</c:v>
                </c:pt>
                <c:pt idx="6">
                  <c:v>19.8</c:v>
                </c:pt>
              </c:numCache>
            </c:numRef>
          </c:val>
          <c:extLst>
            <c:ext xmlns:c16="http://schemas.microsoft.com/office/drawing/2014/chart" uri="{C3380CC4-5D6E-409C-BE32-E72D297353CC}">
              <c16:uniqueId val="{00000002-D684-46A3-BB80-3AB0A0C41D35}"/>
            </c:ext>
          </c:extLst>
        </c:ser>
        <c:ser>
          <c:idx val="3"/>
          <c:order val="3"/>
          <c:tx>
            <c:strRef>
              <c:f>'Q22_Tab 58'!$A$8</c:f>
              <c:strCache>
                <c:ptCount val="1"/>
                <c:pt idx="0">
                  <c:v>L'activité mettra plus de trois mois à revenir à la normale</c:v>
                </c:pt>
              </c:strCache>
            </c:strRef>
          </c:tx>
          <c:spPr>
            <a:solidFill>
              <a:schemeClr val="accent6">
                <a:tint val="90000"/>
              </a:schemeClr>
            </a:solidFill>
            <a:ln>
              <a:noFill/>
            </a:ln>
            <a:effectLst/>
          </c:spPr>
          <c:invertIfNegative val="0"/>
          <c:cat>
            <c:strRef>
              <c:f>'Q22_Tab 58'!$B$4:$H$4</c:f>
              <c:strCache>
                <c:ptCount val="7"/>
                <c:pt idx="0">
                  <c:v>Ensemble</c:v>
                </c:pt>
                <c:pt idx="1">
                  <c:v>10 - 19</c:v>
                </c:pt>
                <c:pt idx="2">
                  <c:v>20 - 49</c:v>
                </c:pt>
                <c:pt idx="3">
                  <c:v>50 - 99</c:v>
                </c:pt>
                <c:pt idx="4">
                  <c:v>100 - 249</c:v>
                </c:pt>
                <c:pt idx="5">
                  <c:v>250 - 499</c:v>
                </c:pt>
                <c:pt idx="6">
                  <c:v>500 et +</c:v>
                </c:pt>
              </c:strCache>
            </c:strRef>
          </c:cat>
          <c:val>
            <c:numRef>
              <c:f>'Q22_Tab 58'!$B$8:$H$8</c:f>
              <c:numCache>
                <c:formatCode>0.0</c:formatCode>
                <c:ptCount val="7"/>
                <c:pt idx="0">
                  <c:v>14.2</c:v>
                </c:pt>
                <c:pt idx="1">
                  <c:v>13</c:v>
                </c:pt>
                <c:pt idx="2">
                  <c:v>13.5</c:v>
                </c:pt>
                <c:pt idx="3">
                  <c:v>12.6</c:v>
                </c:pt>
                <c:pt idx="4">
                  <c:v>12.5</c:v>
                </c:pt>
                <c:pt idx="5">
                  <c:v>12</c:v>
                </c:pt>
                <c:pt idx="6">
                  <c:v>16.400000000000002</c:v>
                </c:pt>
              </c:numCache>
            </c:numRef>
          </c:val>
          <c:extLst>
            <c:ext xmlns:c16="http://schemas.microsoft.com/office/drawing/2014/chart" uri="{C3380CC4-5D6E-409C-BE32-E72D297353CC}">
              <c16:uniqueId val="{00000003-D684-46A3-BB80-3AB0A0C41D35}"/>
            </c:ext>
          </c:extLst>
        </c:ser>
        <c:ser>
          <c:idx val="4"/>
          <c:order val="4"/>
          <c:tx>
            <c:strRef>
              <c:f>'Q22_Tab 58'!$A$9</c:f>
              <c:strCache>
                <c:ptCount val="1"/>
                <c:pt idx="0">
                  <c:v>L'activité a été affectée de manière plus durable et ne reviendra pas à la situation antérieure avant la fin de l'année</c:v>
                </c:pt>
              </c:strCache>
            </c:strRef>
          </c:tx>
          <c:spPr>
            <a:solidFill>
              <a:schemeClr val="accent6">
                <a:tint val="70000"/>
              </a:schemeClr>
            </a:solidFill>
            <a:ln>
              <a:noFill/>
            </a:ln>
            <a:effectLst/>
          </c:spPr>
          <c:invertIfNegative val="0"/>
          <c:cat>
            <c:strRef>
              <c:f>'Q22_Tab 58'!$B$4:$H$4</c:f>
              <c:strCache>
                <c:ptCount val="7"/>
                <c:pt idx="0">
                  <c:v>Ensemble</c:v>
                </c:pt>
                <c:pt idx="1">
                  <c:v>10 - 19</c:v>
                </c:pt>
                <c:pt idx="2">
                  <c:v>20 - 49</c:v>
                </c:pt>
                <c:pt idx="3">
                  <c:v>50 - 99</c:v>
                </c:pt>
                <c:pt idx="4">
                  <c:v>100 - 249</c:v>
                </c:pt>
                <c:pt idx="5">
                  <c:v>250 - 499</c:v>
                </c:pt>
                <c:pt idx="6">
                  <c:v>500 et +</c:v>
                </c:pt>
              </c:strCache>
            </c:strRef>
          </c:cat>
          <c:val>
            <c:numRef>
              <c:f>'Q22_Tab 58'!$B$9:$H$9</c:f>
              <c:numCache>
                <c:formatCode>0.0</c:formatCode>
                <c:ptCount val="7"/>
                <c:pt idx="0">
                  <c:v>20.3</c:v>
                </c:pt>
                <c:pt idx="1">
                  <c:v>18.5</c:v>
                </c:pt>
                <c:pt idx="2">
                  <c:v>18.099999999999998</c:v>
                </c:pt>
                <c:pt idx="3">
                  <c:v>17.2</c:v>
                </c:pt>
                <c:pt idx="4">
                  <c:v>18.5</c:v>
                </c:pt>
                <c:pt idx="5">
                  <c:v>16.7</c:v>
                </c:pt>
                <c:pt idx="6">
                  <c:v>24</c:v>
                </c:pt>
              </c:numCache>
            </c:numRef>
          </c:val>
          <c:extLst>
            <c:ext xmlns:c16="http://schemas.microsoft.com/office/drawing/2014/chart" uri="{C3380CC4-5D6E-409C-BE32-E72D297353CC}">
              <c16:uniqueId val="{00000004-D684-46A3-BB80-3AB0A0C41D35}"/>
            </c:ext>
          </c:extLst>
        </c:ser>
        <c:ser>
          <c:idx val="5"/>
          <c:order val="5"/>
          <c:tx>
            <c:strRef>
              <c:f>'Q22_Tab 58'!$A$10</c:f>
              <c:strCache>
                <c:ptCount val="1"/>
                <c:pt idx="0">
                  <c:v>Ne sais pas</c:v>
                </c:pt>
              </c:strCache>
            </c:strRef>
          </c:tx>
          <c:spPr>
            <a:solidFill>
              <a:schemeClr val="accent6">
                <a:tint val="50000"/>
              </a:schemeClr>
            </a:solidFill>
            <a:ln>
              <a:noFill/>
            </a:ln>
            <a:effectLst/>
          </c:spPr>
          <c:invertIfNegative val="0"/>
          <c:cat>
            <c:strRef>
              <c:f>'Q22_Tab 58'!$B$4:$H$4</c:f>
              <c:strCache>
                <c:ptCount val="7"/>
                <c:pt idx="0">
                  <c:v>Ensemble</c:v>
                </c:pt>
                <c:pt idx="1">
                  <c:v>10 - 19</c:v>
                </c:pt>
                <c:pt idx="2">
                  <c:v>20 - 49</c:v>
                </c:pt>
                <c:pt idx="3">
                  <c:v>50 - 99</c:v>
                </c:pt>
                <c:pt idx="4">
                  <c:v>100 - 249</c:v>
                </c:pt>
                <c:pt idx="5">
                  <c:v>250 - 499</c:v>
                </c:pt>
                <c:pt idx="6">
                  <c:v>500 et +</c:v>
                </c:pt>
              </c:strCache>
            </c:strRef>
          </c:cat>
          <c:val>
            <c:numRef>
              <c:f>'Q22_Tab 58'!$B$10:$H$10</c:f>
              <c:numCache>
                <c:formatCode>0.0</c:formatCode>
                <c:ptCount val="7"/>
                <c:pt idx="0">
                  <c:v>21.4</c:v>
                </c:pt>
                <c:pt idx="1">
                  <c:v>24.6</c:v>
                </c:pt>
                <c:pt idx="2">
                  <c:v>22.900000000000002</c:v>
                </c:pt>
                <c:pt idx="3">
                  <c:v>20.7</c:v>
                </c:pt>
                <c:pt idx="4">
                  <c:v>21.6</c:v>
                </c:pt>
                <c:pt idx="5">
                  <c:v>25.900000000000002</c:v>
                </c:pt>
                <c:pt idx="6">
                  <c:v>18.899999999999999</c:v>
                </c:pt>
              </c:numCache>
            </c:numRef>
          </c:val>
          <c:extLst>
            <c:ext xmlns:c16="http://schemas.microsoft.com/office/drawing/2014/chart" uri="{C3380CC4-5D6E-409C-BE32-E72D297353CC}">
              <c16:uniqueId val="{00000005-D684-46A3-BB80-3AB0A0C41D35}"/>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'Q22_Tab 58'!$A$5</c:f>
              <c:strCache>
                <c:ptCount val="1"/>
                <c:pt idx="0">
                  <c:v>L'activité n'a pas été affectée ou est déjà revenue à la normale</c:v>
                </c:pt>
              </c:strCache>
            </c:strRef>
          </c:tx>
          <c:spPr>
            <a:solidFill>
              <a:schemeClr val="accent1"/>
            </a:solidFill>
            <a:ln>
              <a:noFill/>
            </a:ln>
            <a:effectLst/>
          </c:spPr>
          <c:invertIfNegative val="0"/>
          <c:cat>
            <c:strRef>
              <c:f>'Q22_Tab 58'!$B$4:$H$4</c:f>
              <c:strCache>
                <c:ptCount val="7"/>
                <c:pt idx="0">
                  <c:v>Ensemble</c:v>
                </c:pt>
                <c:pt idx="1">
                  <c:v>10 - 19</c:v>
                </c:pt>
                <c:pt idx="2">
                  <c:v>20 - 49</c:v>
                </c:pt>
                <c:pt idx="3">
                  <c:v>50 - 99</c:v>
                </c:pt>
                <c:pt idx="4">
                  <c:v>100 - 249</c:v>
                </c:pt>
                <c:pt idx="5">
                  <c:v>250 - 499</c:v>
                </c:pt>
                <c:pt idx="6">
                  <c:v>500 et +</c:v>
                </c:pt>
              </c:strCache>
            </c:strRef>
          </c:cat>
          <c:val>
            <c:numRef>
              <c:f>'Q22_Tab 58'!$B$5:$H$5</c:f>
              <c:numCache>
                <c:formatCode>0.0</c:formatCode>
                <c:ptCount val="7"/>
                <c:pt idx="0">
                  <c:v>17.8</c:v>
                </c:pt>
                <c:pt idx="1">
                  <c:v>20.8</c:v>
                </c:pt>
                <c:pt idx="2">
                  <c:v>19.100000000000001</c:v>
                </c:pt>
                <c:pt idx="3">
                  <c:v>21.5</c:v>
                </c:pt>
                <c:pt idx="4">
                  <c:v>20.5</c:v>
                </c:pt>
                <c:pt idx="5">
                  <c:v>18.5</c:v>
                </c:pt>
                <c:pt idx="6">
                  <c:v>14.299999999999999</c:v>
                </c:pt>
              </c:numCache>
            </c:numRef>
          </c:val>
          <c:extLst>
            <c:ext xmlns:c16="http://schemas.microsoft.com/office/drawing/2014/chart" uri="{C3380CC4-5D6E-409C-BE32-E72D297353CC}">
              <c16:uniqueId val="{00000000-3ABD-453C-A8BB-074E13F2BAD3}"/>
            </c:ext>
          </c:extLst>
        </c:ser>
        <c:ser>
          <c:idx val="1"/>
          <c:order val="1"/>
          <c:tx>
            <c:strRef>
              <c:f>'Q22_Tab 58'!$A$6</c:f>
              <c:strCache>
                <c:ptCount val="1"/>
                <c:pt idx="0">
                  <c:v>L'activité reviendra très vite à la normale, d’ici un mois</c:v>
                </c:pt>
              </c:strCache>
            </c:strRef>
          </c:tx>
          <c:spPr>
            <a:solidFill>
              <a:schemeClr val="accent2"/>
            </a:solidFill>
            <a:ln>
              <a:noFill/>
            </a:ln>
            <a:effectLst/>
          </c:spPr>
          <c:invertIfNegative val="0"/>
          <c:cat>
            <c:strRef>
              <c:f>'Q22_Tab 58'!$B$4:$H$4</c:f>
              <c:strCache>
                <c:ptCount val="7"/>
                <c:pt idx="0">
                  <c:v>Ensemble</c:v>
                </c:pt>
                <c:pt idx="1">
                  <c:v>10 - 19</c:v>
                </c:pt>
                <c:pt idx="2">
                  <c:v>20 - 49</c:v>
                </c:pt>
                <c:pt idx="3">
                  <c:v>50 - 99</c:v>
                </c:pt>
                <c:pt idx="4">
                  <c:v>100 - 249</c:v>
                </c:pt>
                <c:pt idx="5">
                  <c:v>250 - 499</c:v>
                </c:pt>
                <c:pt idx="6">
                  <c:v>500 et +</c:v>
                </c:pt>
              </c:strCache>
            </c:strRef>
          </c:cat>
          <c:val>
            <c:numRef>
              <c:f>'Q22_Tab 58'!$B$6:$H$6</c:f>
              <c:numCache>
                <c:formatCode>0.0</c:formatCode>
                <c:ptCount val="7"/>
                <c:pt idx="0">
                  <c:v>7.8</c:v>
                </c:pt>
                <c:pt idx="1">
                  <c:v>7.5</c:v>
                </c:pt>
                <c:pt idx="2">
                  <c:v>8.3000000000000007</c:v>
                </c:pt>
                <c:pt idx="3">
                  <c:v>9</c:v>
                </c:pt>
                <c:pt idx="4">
                  <c:v>9.4</c:v>
                </c:pt>
                <c:pt idx="5">
                  <c:v>8.6</c:v>
                </c:pt>
                <c:pt idx="6">
                  <c:v>6.6000000000000005</c:v>
                </c:pt>
              </c:numCache>
            </c:numRef>
          </c:val>
          <c:extLst>
            <c:ext xmlns:c16="http://schemas.microsoft.com/office/drawing/2014/chart" uri="{C3380CC4-5D6E-409C-BE32-E72D297353CC}">
              <c16:uniqueId val="{00000001-3ABD-453C-A8BB-074E13F2BAD3}"/>
            </c:ext>
          </c:extLst>
        </c:ser>
        <c:ser>
          <c:idx val="2"/>
          <c:order val="2"/>
          <c:tx>
            <c:strRef>
              <c:f>'Q22_Tab 58'!$A$7</c:f>
              <c:strCache>
                <c:ptCount val="1"/>
                <c:pt idx="0">
                  <c:v>L'activité reviendra à la normale d’ici deux ou trois mois</c:v>
                </c:pt>
              </c:strCache>
            </c:strRef>
          </c:tx>
          <c:spPr>
            <a:solidFill>
              <a:schemeClr val="accent3"/>
            </a:solidFill>
            <a:ln>
              <a:noFill/>
            </a:ln>
            <a:effectLst/>
          </c:spPr>
          <c:invertIfNegative val="0"/>
          <c:cat>
            <c:strRef>
              <c:f>'Q22_Tab 58'!$B$4:$H$4</c:f>
              <c:strCache>
                <c:ptCount val="7"/>
                <c:pt idx="0">
                  <c:v>Ensemble</c:v>
                </c:pt>
                <c:pt idx="1">
                  <c:v>10 - 19</c:v>
                </c:pt>
                <c:pt idx="2">
                  <c:v>20 - 49</c:v>
                </c:pt>
                <c:pt idx="3">
                  <c:v>50 - 99</c:v>
                </c:pt>
                <c:pt idx="4">
                  <c:v>100 - 249</c:v>
                </c:pt>
                <c:pt idx="5">
                  <c:v>250 - 499</c:v>
                </c:pt>
                <c:pt idx="6">
                  <c:v>500 et +</c:v>
                </c:pt>
              </c:strCache>
            </c:strRef>
          </c:cat>
          <c:val>
            <c:numRef>
              <c:f>'Q22_Tab 58'!$B$7:$H$7</c:f>
              <c:numCache>
                <c:formatCode>0.0</c:formatCode>
                <c:ptCount val="7"/>
                <c:pt idx="0">
                  <c:v>18.5</c:v>
                </c:pt>
                <c:pt idx="1">
                  <c:v>15.7</c:v>
                </c:pt>
                <c:pt idx="2">
                  <c:v>18.099999999999998</c:v>
                </c:pt>
                <c:pt idx="3">
                  <c:v>19</c:v>
                </c:pt>
                <c:pt idx="4">
                  <c:v>17.5</c:v>
                </c:pt>
                <c:pt idx="5">
                  <c:v>18.3</c:v>
                </c:pt>
                <c:pt idx="6">
                  <c:v>19.8</c:v>
                </c:pt>
              </c:numCache>
            </c:numRef>
          </c:val>
          <c:extLst>
            <c:ext xmlns:c16="http://schemas.microsoft.com/office/drawing/2014/chart" uri="{C3380CC4-5D6E-409C-BE32-E72D297353CC}">
              <c16:uniqueId val="{00000002-3ABD-453C-A8BB-074E13F2BAD3}"/>
            </c:ext>
          </c:extLst>
        </c:ser>
        <c:ser>
          <c:idx val="3"/>
          <c:order val="3"/>
          <c:tx>
            <c:strRef>
              <c:f>'Q22_Tab 58'!$A$8</c:f>
              <c:strCache>
                <c:ptCount val="1"/>
                <c:pt idx="0">
                  <c:v>L'activité mettra plus de trois mois à revenir à la normale</c:v>
                </c:pt>
              </c:strCache>
            </c:strRef>
          </c:tx>
          <c:spPr>
            <a:solidFill>
              <a:schemeClr val="accent4"/>
            </a:solidFill>
            <a:ln>
              <a:noFill/>
            </a:ln>
            <a:effectLst/>
          </c:spPr>
          <c:invertIfNegative val="0"/>
          <c:cat>
            <c:strRef>
              <c:f>'Q22_Tab 58'!$B$4:$H$4</c:f>
              <c:strCache>
                <c:ptCount val="7"/>
                <c:pt idx="0">
                  <c:v>Ensemble</c:v>
                </c:pt>
                <c:pt idx="1">
                  <c:v>10 - 19</c:v>
                </c:pt>
                <c:pt idx="2">
                  <c:v>20 - 49</c:v>
                </c:pt>
                <c:pt idx="3">
                  <c:v>50 - 99</c:v>
                </c:pt>
                <c:pt idx="4">
                  <c:v>100 - 249</c:v>
                </c:pt>
                <c:pt idx="5">
                  <c:v>250 - 499</c:v>
                </c:pt>
                <c:pt idx="6">
                  <c:v>500 et +</c:v>
                </c:pt>
              </c:strCache>
            </c:strRef>
          </c:cat>
          <c:val>
            <c:numRef>
              <c:f>'Q22_Tab 58'!$B$8:$H$8</c:f>
              <c:numCache>
                <c:formatCode>0.0</c:formatCode>
                <c:ptCount val="7"/>
                <c:pt idx="0">
                  <c:v>14.2</c:v>
                </c:pt>
                <c:pt idx="1">
                  <c:v>13</c:v>
                </c:pt>
                <c:pt idx="2">
                  <c:v>13.5</c:v>
                </c:pt>
                <c:pt idx="3">
                  <c:v>12.6</c:v>
                </c:pt>
                <c:pt idx="4">
                  <c:v>12.5</c:v>
                </c:pt>
                <c:pt idx="5">
                  <c:v>12</c:v>
                </c:pt>
                <c:pt idx="6">
                  <c:v>16.400000000000002</c:v>
                </c:pt>
              </c:numCache>
            </c:numRef>
          </c:val>
          <c:extLst>
            <c:ext xmlns:c16="http://schemas.microsoft.com/office/drawing/2014/chart" uri="{C3380CC4-5D6E-409C-BE32-E72D297353CC}">
              <c16:uniqueId val="{00000003-3ABD-453C-A8BB-074E13F2BAD3}"/>
            </c:ext>
          </c:extLst>
        </c:ser>
        <c:ser>
          <c:idx val="4"/>
          <c:order val="4"/>
          <c:tx>
            <c:strRef>
              <c:f>'Q22_Tab 58'!$A$9</c:f>
              <c:strCache>
                <c:ptCount val="1"/>
                <c:pt idx="0">
                  <c:v>L'activité a été affectée de manière plus durable et ne reviendra pas à la situation antérieure avant la fin de l'année</c:v>
                </c:pt>
              </c:strCache>
            </c:strRef>
          </c:tx>
          <c:spPr>
            <a:solidFill>
              <a:schemeClr val="accent5"/>
            </a:solidFill>
            <a:ln>
              <a:noFill/>
            </a:ln>
            <a:effectLst/>
          </c:spPr>
          <c:invertIfNegative val="0"/>
          <c:cat>
            <c:strRef>
              <c:f>'Q22_Tab 58'!$B$4:$H$4</c:f>
              <c:strCache>
                <c:ptCount val="7"/>
                <c:pt idx="0">
                  <c:v>Ensemble</c:v>
                </c:pt>
                <c:pt idx="1">
                  <c:v>10 - 19</c:v>
                </c:pt>
                <c:pt idx="2">
                  <c:v>20 - 49</c:v>
                </c:pt>
                <c:pt idx="3">
                  <c:v>50 - 99</c:v>
                </c:pt>
                <c:pt idx="4">
                  <c:v>100 - 249</c:v>
                </c:pt>
                <c:pt idx="5">
                  <c:v>250 - 499</c:v>
                </c:pt>
                <c:pt idx="6">
                  <c:v>500 et +</c:v>
                </c:pt>
              </c:strCache>
            </c:strRef>
          </c:cat>
          <c:val>
            <c:numRef>
              <c:f>'Q22_Tab 58'!$B$9:$H$9</c:f>
              <c:numCache>
                <c:formatCode>0.0</c:formatCode>
                <c:ptCount val="7"/>
                <c:pt idx="0">
                  <c:v>20.3</c:v>
                </c:pt>
                <c:pt idx="1">
                  <c:v>18.5</c:v>
                </c:pt>
                <c:pt idx="2">
                  <c:v>18.099999999999998</c:v>
                </c:pt>
                <c:pt idx="3">
                  <c:v>17.2</c:v>
                </c:pt>
                <c:pt idx="4">
                  <c:v>18.5</c:v>
                </c:pt>
                <c:pt idx="5">
                  <c:v>16.7</c:v>
                </c:pt>
                <c:pt idx="6">
                  <c:v>24</c:v>
                </c:pt>
              </c:numCache>
            </c:numRef>
          </c:val>
          <c:extLst>
            <c:ext xmlns:c16="http://schemas.microsoft.com/office/drawing/2014/chart" uri="{C3380CC4-5D6E-409C-BE32-E72D297353CC}">
              <c16:uniqueId val="{00000004-3ABD-453C-A8BB-074E13F2BAD3}"/>
            </c:ext>
          </c:extLst>
        </c:ser>
        <c:ser>
          <c:idx val="5"/>
          <c:order val="5"/>
          <c:tx>
            <c:strRef>
              <c:f>'Q22_Tab 58'!$A$10</c:f>
              <c:strCache>
                <c:ptCount val="1"/>
                <c:pt idx="0">
                  <c:v>Ne sais pas</c:v>
                </c:pt>
              </c:strCache>
            </c:strRef>
          </c:tx>
          <c:spPr>
            <a:solidFill>
              <a:schemeClr val="accent6"/>
            </a:solidFill>
            <a:ln>
              <a:noFill/>
            </a:ln>
            <a:effectLst/>
          </c:spPr>
          <c:invertIfNegative val="0"/>
          <c:cat>
            <c:strRef>
              <c:f>'Q22_Tab 58'!$B$4:$H$4</c:f>
              <c:strCache>
                <c:ptCount val="7"/>
                <c:pt idx="0">
                  <c:v>Ensemble</c:v>
                </c:pt>
                <c:pt idx="1">
                  <c:v>10 - 19</c:v>
                </c:pt>
                <c:pt idx="2">
                  <c:v>20 - 49</c:v>
                </c:pt>
                <c:pt idx="3">
                  <c:v>50 - 99</c:v>
                </c:pt>
                <c:pt idx="4">
                  <c:v>100 - 249</c:v>
                </c:pt>
                <c:pt idx="5">
                  <c:v>250 - 499</c:v>
                </c:pt>
                <c:pt idx="6">
                  <c:v>500 et +</c:v>
                </c:pt>
              </c:strCache>
            </c:strRef>
          </c:cat>
          <c:val>
            <c:numRef>
              <c:f>'Q22_Tab 58'!$B$10:$H$10</c:f>
              <c:numCache>
                <c:formatCode>0.0</c:formatCode>
                <c:ptCount val="7"/>
                <c:pt idx="0">
                  <c:v>21.4</c:v>
                </c:pt>
                <c:pt idx="1">
                  <c:v>24.6</c:v>
                </c:pt>
                <c:pt idx="2">
                  <c:v>22.900000000000002</c:v>
                </c:pt>
                <c:pt idx="3">
                  <c:v>20.7</c:v>
                </c:pt>
                <c:pt idx="4">
                  <c:v>21.6</c:v>
                </c:pt>
                <c:pt idx="5">
                  <c:v>25.900000000000002</c:v>
                </c:pt>
                <c:pt idx="6">
                  <c:v>18.899999999999999</c:v>
                </c:pt>
              </c:numCache>
            </c:numRef>
          </c:val>
          <c:extLst>
            <c:ext xmlns:c16="http://schemas.microsoft.com/office/drawing/2014/chart" uri="{C3380CC4-5D6E-409C-BE32-E72D297353CC}">
              <c16:uniqueId val="{00000005-3ABD-453C-A8BB-074E13F2BAD3}"/>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'Q22_Tab 59'!$B$5</c:f>
              <c:strCache>
                <c:ptCount val="1"/>
                <c:pt idx="0">
                  <c:v>L'activité n'a pas été affectée ou est déjà revenue à la normale</c:v>
                </c:pt>
              </c:strCache>
            </c:strRef>
          </c:tx>
          <c:spPr>
            <a:solidFill>
              <a:schemeClr val="accent6">
                <a:shade val="47000"/>
              </a:schemeClr>
            </a:solidFill>
            <a:ln>
              <a:noFill/>
            </a:ln>
            <a:effectLst/>
          </c:spPr>
          <c:invertIfNegative val="0"/>
          <c:cat>
            <c:strRef>
              <c:f>'Q22_Tab 59'!$A$6:$A$22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59'!$B$6:$B$22</c:f>
              <c:numCache>
                <c:formatCode>0.0</c:formatCode>
                <c:ptCount val="17"/>
                <c:pt idx="0">
                  <c:v>17.8</c:v>
                </c:pt>
                <c:pt idx="1">
                  <c:v>11.200000000000001</c:v>
                </c:pt>
                <c:pt idx="2">
                  <c:v>32.4</c:v>
                </c:pt>
                <c:pt idx="3">
                  <c:v>4.5999999999999996</c:v>
                </c:pt>
                <c:pt idx="4">
                  <c:v>13.100000000000001</c:v>
                </c:pt>
                <c:pt idx="5">
                  <c:v>3.1</c:v>
                </c:pt>
                <c:pt idx="6">
                  <c:v>18.600000000000001</c:v>
                </c:pt>
                <c:pt idx="7">
                  <c:v>19.8</c:v>
                </c:pt>
                <c:pt idx="8">
                  <c:v>25.900000000000002</c:v>
                </c:pt>
                <c:pt idx="9">
                  <c:v>14.2</c:v>
                </c:pt>
                <c:pt idx="10">
                  <c:v>2</c:v>
                </c:pt>
                <c:pt idx="11">
                  <c:v>11.200000000000001</c:v>
                </c:pt>
                <c:pt idx="12">
                  <c:v>14.899999999999999</c:v>
                </c:pt>
                <c:pt idx="13">
                  <c:v>25.6</c:v>
                </c:pt>
                <c:pt idx="14">
                  <c:v>14.499999999999998</c:v>
                </c:pt>
                <c:pt idx="15">
                  <c:v>22.2</c:v>
                </c:pt>
                <c:pt idx="16">
                  <c:v>14.799999999999999</c:v>
                </c:pt>
              </c:numCache>
            </c:numRef>
          </c:val>
          <c:extLst>
            <c:ext xmlns:c16="http://schemas.microsoft.com/office/drawing/2014/chart" uri="{C3380CC4-5D6E-409C-BE32-E72D297353CC}">
              <c16:uniqueId val="{00000000-AC25-4008-810E-2B652A836B8C}"/>
            </c:ext>
          </c:extLst>
        </c:ser>
        <c:ser>
          <c:idx val="1"/>
          <c:order val="1"/>
          <c:tx>
            <c:strRef>
              <c:f>'Q22_Tab 59'!$C$5</c:f>
              <c:strCache>
                <c:ptCount val="1"/>
                <c:pt idx="0">
                  <c:v>L'activité reviendra très vite à la normale, d’ici un mois</c:v>
                </c:pt>
              </c:strCache>
            </c:strRef>
          </c:tx>
          <c:spPr>
            <a:solidFill>
              <a:schemeClr val="accent6">
                <a:shade val="65000"/>
              </a:schemeClr>
            </a:solidFill>
            <a:ln>
              <a:noFill/>
            </a:ln>
            <a:effectLst/>
          </c:spPr>
          <c:invertIfNegative val="0"/>
          <c:cat>
            <c:strRef>
              <c:f>'Q22_Tab 59'!$A$6:$A$22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59'!$C$6:$C$22</c:f>
              <c:numCache>
                <c:formatCode>0.0</c:formatCode>
                <c:ptCount val="17"/>
                <c:pt idx="0">
                  <c:v>7.8</c:v>
                </c:pt>
                <c:pt idx="1">
                  <c:v>8.9</c:v>
                </c:pt>
                <c:pt idx="2">
                  <c:v>5.8999999999999995</c:v>
                </c:pt>
                <c:pt idx="3">
                  <c:v>0</c:v>
                </c:pt>
                <c:pt idx="4">
                  <c:v>5.2</c:v>
                </c:pt>
                <c:pt idx="5">
                  <c:v>2.2999999999999998</c:v>
                </c:pt>
                <c:pt idx="6">
                  <c:v>5.6000000000000005</c:v>
                </c:pt>
                <c:pt idx="7">
                  <c:v>15.4</c:v>
                </c:pt>
                <c:pt idx="8">
                  <c:v>5.8000000000000007</c:v>
                </c:pt>
                <c:pt idx="9">
                  <c:v>5.4</c:v>
                </c:pt>
                <c:pt idx="10">
                  <c:v>3</c:v>
                </c:pt>
                <c:pt idx="11">
                  <c:v>4.3999999999999995</c:v>
                </c:pt>
                <c:pt idx="12">
                  <c:v>7.1</c:v>
                </c:pt>
                <c:pt idx="13">
                  <c:v>11.4</c:v>
                </c:pt>
                <c:pt idx="14">
                  <c:v>8.6999999999999993</c:v>
                </c:pt>
                <c:pt idx="15">
                  <c:v>11.4</c:v>
                </c:pt>
                <c:pt idx="16">
                  <c:v>11.899999999999999</c:v>
                </c:pt>
              </c:numCache>
            </c:numRef>
          </c:val>
          <c:extLst>
            <c:ext xmlns:c16="http://schemas.microsoft.com/office/drawing/2014/chart" uri="{C3380CC4-5D6E-409C-BE32-E72D297353CC}">
              <c16:uniqueId val="{00000001-AC25-4008-810E-2B652A836B8C}"/>
            </c:ext>
          </c:extLst>
        </c:ser>
        <c:ser>
          <c:idx val="2"/>
          <c:order val="2"/>
          <c:tx>
            <c:strRef>
              <c:f>'Q22_Tab 59'!$D$5</c:f>
              <c:strCache>
                <c:ptCount val="1"/>
                <c:pt idx="0">
                  <c:v>L'activité reviendra à la normale d’ici deux ou trois mois</c:v>
                </c:pt>
              </c:strCache>
            </c:strRef>
          </c:tx>
          <c:spPr>
            <a:solidFill>
              <a:schemeClr val="accent6">
                <a:shade val="82000"/>
              </a:schemeClr>
            </a:solidFill>
            <a:ln>
              <a:noFill/>
            </a:ln>
            <a:effectLst/>
          </c:spPr>
          <c:invertIfNegative val="0"/>
          <c:cat>
            <c:strRef>
              <c:f>'Q22_Tab 59'!$A$6:$A$22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59'!$D$6:$D$22</c:f>
              <c:numCache>
                <c:formatCode>0.0</c:formatCode>
                <c:ptCount val="17"/>
                <c:pt idx="0">
                  <c:v>18.5</c:v>
                </c:pt>
                <c:pt idx="1">
                  <c:v>45.300000000000004</c:v>
                </c:pt>
                <c:pt idx="2">
                  <c:v>21.5</c:v>
                </c:pt>
                <c:pt idx="3">
                  <c:v>0</c:v>
                </c:pt>
                <c:pt idx="4">
                  <c:v>9.1999999999999993</c:v>
                </c:pt>
                <c:pt idx="5">
                  <c:v>14.7</c:v>
                </c:pt>
                <c:pt idx="6">
                  <c:v>10.7</c:v>
                </c:pt>
                <c:pt idx="7">
                  <c:v>16.7</c:v>
                </c:pt>
                <c:pt idx="8">
                  <c:v>12.8</c:v>
                </c:pt>
                <c:pt idx="9">
                  <c:v>18.5</c:v>
                </c:pt>
                <c:pt idx="10">
                  <c:v>18.7</c:v>
                </c:pt>
                <c:pt idx="11">
                  <c:v>11.799999999999999</c:v>
                </c:pt>
                <c:pt idx="12">
                  <c:v>19.100000000000001</c:v>
                </c:pt>
                <c:pt idx="13">
                  <c:v>21.5</c:v>
                </c:pt>
                <c:pt idx="14">
                  <c:v>17.399999999999999</c:v>
                </c:pt>
                <c:pt idx="15">
                  <c:v>29.5</c:v>
                </c:pt>
                <c:pt idx="16">
                  <c:v>20.9</c:v>
                </c:pt>
              </c:numCache>
            </c:numRef>
          </c:val>
          <c:extLst>
            <c:ext xmlns:c16="http://schemas.microsoft.com/office/drawing/2014/chart" uri="{C3380CC4-5D6E-409C-BE32-E72D297353CC}">
              <c16:uniqueId val="{00000002-AC25-4008-810E-2B652A836B8C}"/>
            </c:ext>
          </c:extLst>
        </c:ser>
        <c:ser>
          <c:idx val="3"/>
          <c:order val="3"/>
          <c:tx>
            <c:strRef>
              <c:f>'Q22_Tab 59'!$E$5</c:f>
              <c:strCache>
                <c:ptCount val="1"/>
                <c:pt idx="0">
                  <c:v>L'activité mettra plus de trois mois à revenir à la normale</c:v>
                </c:pt>
              </c:strCache>
            </c:strRef>
          </c:tx>
          <c:spPr>
            <a:solidFill>
              <a:schemeClr val="accent6"/>
            </a:solidFill>
            <a:ln>
              <a:noFill/>
            </a:ln>
            <a:effectLst/>
          </c:spPr>
          <c:invertIfNegative val="0"/>
          <c:cat>
            <c:strRef>
              <c:f>'Q22_Tab 59'!$A$6:$A$22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59'!$E$6:$E$22</c:f>
              <c:numCache>
                <c:formatCode>0.0</c:formatCode>
                <c:ptCount val="17"/>
                <c:pt idx="0">
                  <c:v>14.2</c:v>
                </c:pt>
                <c:pt idx="1">
                  <c:v>10.8</c:v>
                </c:pt>
                <c:pt idx="2">
                  <c:v>9.6</c:v>
                </c:pt>
                <c:pt idx="3">
                  <c:v>0</c:v>
                </c:pt>
                <c:pt idx="4">
                  <c:v>22.8</c:v>
                </c:pt>
                <c:pt idx="5">
                  <c:v>19.7</c:v>
                </c:pt>
                <c:pt idx="6">
                  <c:v>15.2</c:v>
                </c:pt>
                <c:pt idx="7">
                  <c:v>11.799999999999999</c:v>
                </c:pt>
                <c:pt idx="8">
                  <c:v>12.8</c:v>
                </c:pt>
                <c:pt idx="9">
                  <c:v>8.6999999999999993</c:v>
                </c:pt>
                <c:pt idx="10">
                  <c:v>11.3</c:v>
                </c:pt>
                <c:pt idx="11">
                  <c:v>26.5</c:v>
                </c:pt>
                <c:pt idx="12">
                  <c:v>17.100000000000001</c:v>
                </c:pt>
                <c:pt idx="13">
                  <c:v>16.600000000000001</c:v>
                </c:pt>
                <c:pt idx="14">
                  <c:v>18.099999999999998</c:v>
                </c:pt>
                <c:pt idx="15">
                  <c:v>9.5</c:v>
                </c:pt>
                <c:pt idx="16">
                  <c:v>15.6</c:v>
                </c:pt>
              </c:numCache>
            </c:numRef>
          </c:val>
          <c:extLst>
            <c:ext xmlns:c16="http://schemas.microsoft.com/office/drawing/2014/chart" uri="{C3380CC4-5D6E-409C-BE32-E72D297353CC}">
              <c16:uniqueId val="{00000003-AC25-4008-810E-2B652A836B8C}"/>
            </c:ext>
          </c:extLst>
        </c:ser>
        <c:ser>
          <c:idx val="4"/>
          <c:order val="4"/>
          <c:tx>
            <c:strRef>
              <c:f>'Q22_Tab 59'!$F$5</c:f>
              <c:strCache>
                <c:ptCount val="1"/>
                <c:pt idx="0">
                  <c:v>L'activité a été affectée de manière plus durable et ne reviendra pas à la situation antérieure avant la fin de l'année</c:v>
                </c:pt>
              </c:strCache>
            </c:strRef>
          </c:tx>
          <c:spPr>
            <a:solidFill>
              <a:schemeClr val="accent6">
                <a:tint val="83000"/>
              </a:schemeClr>
            </a:solidFill>
            <a:ln>
              <a:noFill/>
            </a:ln>
            <a:effectLst/>
          </c:spPr>
          <c:invertIfNegative val="0"/>
          <c:cat>
            <c:strRef>
              <c:f>'Q22_Tab 59'!$A$6:$A$22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59'!$F$6:$F$22</c:f>
              <c:numCache>
                <c:formatCode>0.0</c:formatCode>
                <c:ptCount val="17"/>
                <c:pt idx="0">
                  <c:v>20.3</c:v>
                </c:pt>
                <c:pt idx="1">
                  <c:v>15.9</c:v>
                </c:pt>
                <c:pt idx="2">
                  <c:v>13.4</c:v>
                </c:pt>
                <c:pt idx="3">
                  <c:v>0</c:v>
                </c:pt>
                <c:pt idx="4">
                  <c:v>29.2</c:v>
                </c:pt>
                <c:pt idx="5">
                  <c:v>42.9</c:v>
                </c:pt>
                <c:pt idx="6">
                  <c:v>26.6</c:v>
                </c:pt>
                <c:pt idx="7">
                  <c:v>16.2</c:v>
                </c:pt>
                <c:pt idx="8">
                  <c:v>19.2</c:v>
                </c:pt>
                <c:pt idx="9">
                  <c:v>33.700000000000003</c:v>
                </c:pt>
                <c:pt idx="10">
                  <c:v>33.800000000000004</c:v>
                </c:pt>
                <c:pt idx="11">
                  <c:v>27.3</c:v>
                </c:pt>
                <c:pt idx="12">
                  <c:v>13.8</c:v>
                </c:pt>
                <c:pt idx="13">
                  <c:v>8.2000000000000011</c:v>
                </c:pt>
                <c:pt idx="14">
                  <c:v>20.5</c:v>
                </c:pt>
                <c:pt idx="15">
                  <c:v>7.1999999999999993</c:v>
                </c:pt>
                <c:pt idx="16">
                  <c:v>17</c:v>
                </c:pt>
              </c:numCache>
            </c:numRef>
          </c:val>
          <c:extLst>
            <c:ext xmlns:c16="http://schemas.microsoft.com/office/drawing/2014/chart" uri="{C3380CC4-5D6E-409C-BE32-E72D297353CC}">
              <c16:uniqueId val="{00000004-AC25-4008-810E-2B652A836B8C}"/>
            </c:ext>
          </c:extLst>
        </c:ser>
        <c:ser>
          <c:idx val="5"/>
          <c:order val="5"/>
          <c:tx>
            <c:strRef>
              <c:f>'Q22_Tab 59'!$G$5</c:f>
              <c:strCache>
                <c:ptCount val="1"/>
                <c:pt idx="0">
                  <c:v>Ne sais pas</c:v>
                </c:pt>
              </c:strCache>
            </c:strRef>
          </c:tx>
          <c:spPr>
            <a:solidFill>
              <a:schemeClr val="accent6">
                <a:tint val="65000"/>
              </a:schemeClr>
            </a:solidFill>
            <a:ln>
              <a:noFill/>
            </a:ln>
            <a:effectLst/>
          </c:spPr>
          <c:invertIfNegative val="0"/>
          <c:cat>
            <c:strRef>
              <c:f>'Q22_Tab 59'!$A$6:$A$22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59'!$G$6:$G$22</c:f>
              <c:numCache>
                <c:formatCode>0.0</c:formatCode>
                <c:ptCount val="17"/>
                <c:pt idx="0">
                  <c:v>21.4</c:v>
                </c:pt>
                <c:pt idx="1">
                  <c:v>7.8</c:v>
                </c:pt>
                <c:pt idx="2">
                  <c:v>17.2</c:v>
                </c:pt>
                <c:pt idx="3">
                  <c:v>0</c:v>
                </c:pt>
                <c:pt idx="4">
                  <c:v>20.399999999999999</c:v>
                </c:pt>
                <c:pt idx="5">
                  <c:v>17.399999999999999</c:v>
                </c:pt>
                <c:pt idx="6">
                  <c:v>23.3</c:v>
                </c:pt>
                <c:pt idx="7">
                  <c:v>20.200000000000003</c:v>
                </c:pt>
                <c:pt idx="8">
                  <c:v>23.599999999999998</c:v>
                </c:pt>
                <c:pt idx="9">
                  <c:v>19.5</c:v>
                </c:pt>
                <c:pt idx="10">
                  <c:v>31.3</c:v>
                </c:pt>
                <c:pt idx="11">
                  <c:v>18.8</c:v>
                </c:pt>
                <c:pt idx="12">
                  <c:v>28.000000000000004</c:v>
                </c:pt>
                <c:pt idx="13">
                  <c:v>16.8</c:v>
                </c:pt>
                <c:pt idx="14">
                  <c:v>20.8</c:v>
                </c:pt>
                <c:pt idx="15">
                  <c:v>20.100000000000001</c:v>
                </c:pt>
                <c:pt idx="16">
                  <c:v>19.8</c:v>
                </c:pt>
              </c:numCache>
            </c:numRef>
          </c:val>
          <c:extLst>
            <c:ext xmlns:c16="http://schemas.microsoft.com/office/drawing/2014/chart" uri="{C3380CC4-5D6E-409C-BE32-E72D297353CC}">
              <c16:uniqueId val="{00000005-AC25-4008-810E-2B652A836B8C}"/>
            </c:ext>
          </c:extLst>
        </c:ser>
        <c:ser>
          <c:idx val="6"/>
          <c:order val="6"/>
          <c:tx>
            <c:strRef>
              <c:f>'Q22_Tab 59'!$H$5</c:f>
              <c:strCache>
                <c:ptCount val="1"/>
                <c:pt idx="0">
                  <c:v>nd</c:v>
                </c:pt>
              </c:strCache>
            </c:strRef>
          </c:tx>
          <c:spPr>
            <a:solidFill>
              <a:schemeClr val="bg1">
                <a:lumMod val="85000"/>
              </a:schemeClr>
            </a:solidFill>
            <a:ln>
              <a:noFill/>
            </a:ln>
            <a:effectLst/>
          </c:spPr>
          <c:invertIfNegative val="0"/>
          <c:cat>
            <c:strRef>
              <c:f>'Q22_Tab 59'!$A$6:$A$22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59'!$H$6:$H$22</c:f>
              <c:numCache>
                <c:formatCode>0.0</c:formatCode>
                <c:ptCount val="17"/>
                <c:pt idx="3">
                  <c:v>95.4</c:v>
                </c:pt>
              </c:numCache>
            </c:numRef>
          </c:val>
          <c:extLst>
            <c:ext xmlns:c16="http://schemas.microsoft.com/office/drawing/2014/chart" uri="{C3380CC4-5D6E-409C-BE32-E72D297353CC}">
              <c16:uniqueId val="{00000006-AC25-4008-810E-2B652A836B8C}"/>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'Q22_Tab 59'!$B$5</c:f>
              <c:strCache>
                <c:ptCount val="1"/>
                <c:pt idx="0">
                  <c:v>L'activité n'a pas été affectée ou est déjà revenue à la normale</c:v>
                </c:pt>
              </c:strCache>
            </c:strRef>
          </c:tx>
          <c:spPr>
            <a:solidFill>
              <a:schemeClr val="accent1"/>
            </a:solidFill>
            <a:ln>
              <a:noFill/>
            </a:ln>
            <a:effectLst/>
          </c:spPr>
          <c:invertIfNegative val="0"/>
          <c:cat>
            <c:strRef>
              <c:f>'Q22_Tab 59'!$A$6:$A$22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59'!$B$6:$B$22</c:f>
              <c:numCache>
                <c:formatCode>0.0</c:formatCode>
                <c:ptCount val="17"/>
                <c:pt idx="0">
                  <c:v>17.8</c:v>
                </c:pt>
                <c:pt idx="1">
                  <c:v>11.200000000000001</c:v>
                </c:pt>
                <c:pt idx="2">
                  <c:v>32.4</c:v>
                </c:pt>
                <c:pt idx="3">
                  <c:v>4.5999999999999996</c:v>
                </c:pt>
                <c:pt idx="4">
                  <c:v>13.100000000000001</c:v>
                </c:pt>
                <c:pt idx="5">
                  <c:v>3.1</c:v>
                </c:pt>
                <c:pt idx="6">
                  <c:v>18.600000000000001</c:v>
                </c:pt>
                <c:pt idx="7">
                  <c:v>19.8</c:v>
                </c:pt>
                <c:pt idx="8">
                  <c:v>25.900000000000002</c:v>
                </c:pt>
                <c:pt idx="9">
                  <c:v>14.2</c:v>
                </c:pt>
                <c:pt idx="10">
                  <c:v>2</c:v>
                </c:pt>
                <c:pt idx="11">
                  <c:v>11.200000000000001</c:v>
                </c:pt>
                <c:pt idx="12">
                  <c:v>14.899999999999999</c:v>
                </c:pt>
                <c:pt idx="13">
                  <c:v>25.6</c:v>
                </c:pt>
                <c:pt idx="14">
                  <c:v>14.499999999999998</c:v>
                </c:pt>
                <c:pt idx="15">
                  <c:v>22.2</c:v>
                </c:pt>
                <c:pt idx="16">
                  <c:v>14.799999999999999</c:v>
                </c:pt>
              </c:numCache>
            </c:numRef>
          </c:val>
          <c:extLst>
            <c:ext xmlns:c16="http://schemas.microsoft.com/office/drawing/2014/chart" uri="{C3380CC4-5D6E-409C-BE32-E72D297353CC}">
              <c16:uniqueId val="{00000000-85A5-40EE-A4AD-9E7A506D9647}"/>
            </c:ext>
          </c:extLst>
        </c:ser>
        <c:ser>
          <c:idx val="1"/>
          <c:order val="1"/>
          <c:tx>
            <c:strRef>
              <c:f>'Q22_Tab 59'!$C$5</c:f>
              <c:strCache>
                <c:ptCount val="1"/>
                <c:pt idx="0">
                  <c:v>L'activité reviendra très vite à la normale, d’ici un mois</c:v>
                </c:pt>
              </c:strCache>
            </c:strRef>
          </c:tx>
          <c:spPr>
            <a:solidFill>
              <a:schemeClr val="accent2"/>
            </a:solidFill>
            <a:ln>
              <a:noFill/>
            </a:ln>
            <a:effectLst/>
          </c:spPr>
          <c:invertIfNegative val="0"/>
          <c:cat>
            <c:strRef>
              <c:f>'Q22_Tab 59'!$A$6:$A$22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59'!$C$6:$C$22</c:f>
              <c:numCache>
                <c:formatCode>0.0</c:formatCode>
                <c:ptCount val="17"/>
                <c:pt idx="0">
                  <c:v>7.8</c:v>
                </c:pt>
                <c:pt idx="1">
                  <c:v>8.9</c:v>
                </c:pt>
                <c:pt idx="2">
                  <c:v>5.8999999999999995</c:v>
                </c:pt>
                <c:pt idx="3">
                  <c:v>0</c:v>
                </c:pt>
                <c:pt idx="4">
                  <c:v>5.2</c:v>
                </c:pt>
                <c:pt idx="5">
                  <c:v>2.2999999999999998</c:v>
                </c:pt>
                <c:pt idx="6">
                  <c:v>5.6000000000000005</c:v>
                </c:pt>
                <c:pt idx="7">
                  <c:v>15.4</c:v>
                </c:pt>
                <c:pt idx="8">
                  <c:v>5.8000000000000007</c:v>
                </c:pt>
                <c:pt idx="9">
                  <c:v>5.4</c:v>
                </c:pt>
                <c:pt idx="10">
                  <c:v>3</c:v>
                </c:pt>
                <c:pt idx="11">
                  <c:v>4.3999999999999995</c:v>
                </c:pt>
                <c:pt idx="12">
                  <c:v>7.1</c:v>
                </c:pt>
                <c:pt idx="13">
                  <c:v>11.4</c:v>
                </c:pt>
                <c:pt idx="14">
                  <c:v>8.6999999999999993</c:v>
                </c:pt>
                <c:pt idx="15">
                  <c:v>11.4</c:v>
                </c:pt>
                <c:pt idx="16">
                  <c:v>11.899999999999999</c:v>
                </c:pt>
              </c:numCache>
            </c:numRef>
          </c:val>
          <c:extLst>
            <c:ext xmlns:c16="http://schemas.microsoft.com/office/drawing/2014/chart" uri="{C3380CC4-5D6E-409C-BE32-E72D297353CC}">
              <c16:uniqueId val="{00000001-85A5-40EE-A4AD-9E7A506D9647}"/>
            </c:ext>
          </c:extLst>
        </c:ser>
        <c:ser>
          <c:idx val="2"/>
          <c:order val="2"/>
          <c:tx>
            <c:strRef>
              <c:f>'Q22_Tab 59'!$D$5</c:f>
              <c:strCache>
                <c:ptCount val="1"/>
                <c:pt idx="0">
                  <c:v>L'activité reviendra à la normale d’ici deux ou trois mois</c:v>
                </c:pt>
              </c:strCache>
            </c:strRef>
          </c:tx>
          <c:spPr>
            <a:solidFill>
              <a:schemeClr val="accent3"/>
            </a:solidFill>
            <a:ln>
              <a:noFill/>
            </a:ln>
            <a:effectLst/>
          </c:spPr>
          <c:invertIfNegative val="0"/>
          <c:cat>
            <c:strRef>
              <c:f>'Q22_Tab 59'!$A$6:$A$22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59'!$D$6:$D$22</c:f>
              <c:numCache>
                <c:formatCode>0.0</c:formatCode>
                <c:ptCount val="17"/>
                <c:pt idx="0">
                  <c:v>18.5</c:v>
                </c:pt>
                <c:pt idx="1">
                  <c:v>45.300000000000004</c:v>
                </c:pt>
                <c:pt idx="2">
                  <c:v>21.5</c:v>
                </c:pt>
                <c:pt idx="3">
                  <c:v>0</c:v>
                </c:pt>
                <c:pt idx="4">
                  <c:v>9.1999999999999993</c:v>
                </c:pt>
                <c:pt idx="5">
                  <c:v>14.7</c:v>
                </c:pt>
                <c:pt idx="6">
                  <c:v>10.7</c:v>
                </c:pt>
                <c:pt idx="7">
                  <c:v>16.7</c:v>
                </c:pt>
                <c:pt idx="8">
                  <c:v>12.8</c:v>
                </c:pt>
                <c:pt idx="9">
                  <c:v>18.5</c:v>
                </c:pt>
                <c:pt idx="10">
                  <c:v>18.7</c:v>
                </c:pt>
                <c:pt idx="11">
                  <c:v>11.799999999999999</c:v>
                </c:pt>
                <c:pt idx="12">
                  <c:v>19.100000000000001</c:v>
                </c:pt>
                <c:pt idx="13">
                  <c:v>21.5</c:v>
                </c:pt>
                <c:pt idx="14">
                  <c:v>17.399999999999999</c:v>
                </c:pt>
                <c:pt idx="15">
                  <c:v>29.5</c:v>
                </c:pt>
                <c:pt idx="16">
                  <c:v>20.9</c:v>
                </c:pt>
              </c:numCache>
            </c:numRef>
          </c:val>
          <c:extLst>
            <c:ext xmlns:c16="http://schemas.microsoft.com/office/drawing/2014/chart" uri="{C3380CC4-5D6E-409C-BE32-E72D297353CC}">
              <c16:uniqueId val="{00000002-85A5-40EE-A4AD-9E7A506D9647}"/>
            </c:ext>
          </c:extLst>
        </c:ser>
        <c:ser>
          <c:idx val="3"/>
          <c:order val="3"/>
          <c:tx>
            <c:strRef>
              <c:f>'Q22_Tab 59'!$E$5</c:f>
              <c:strCache>
                <c:ptCount val="1"/>
                <c:pt idx="0">
                  <c:v>L'activité mettra plus de trois mois à revenir à la normale</c:v>
                </c:pt>
              </c:strCache>
            </c:strRef>
          </c:tx>
          <c:spPr>
            <a:solidFill>
              <a:schemeClr val="accent4"/>
            </a:solidFill>
            <a:ln>
              <a:noFill/>
            </a:ln>
            <a:effectLst/>
          </c:spPr>
          <c:invertIfNegative val="0"/>
          <c:cat>
            <c:strRef>
              <c:f>'Q22_Tab 59'!$A$6:$A$22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59'!$E$6:$E$22</c:f>
              <c:numCache>
                <c:formatCode>0.0</c:formatCode>
                <c:ptCount val="17"/>
                <c:pt idx="0">
                  <c:v>14.2</c:v>
                </c:pt>
                <c:pt idx="1">
                  <c:v>10.8</c:v>
                </c:pt>
                <c:pt idx="2">
                  <c:v>9.6</c:v>
                </c:pt>
                <c:pt idx="3">
                  <c:v>0</c:v>
                </c:pt>
                <c:pt idx="4">
                  <c:v>22.8</c:v>
                </c:pt>
                <c:pt idx="5">
                  <c:v>19.7</c:v>
                </c:pt>
                <c:pt idx="6">
                  <c:v>15.2</c:v>
                </c:pt>
                <c:pt idx="7">
                  <c:v>11.799999999999999</c:v>
                </c:pt>
                <c:pt idx="8">
                  <c:v>12.8</c:v>
                </c:pt>
                <c:pt idx="9">
                  <c:v>8.6999999999999993</c:v>
                </c:pt>
                <c:pt idx="10">
                  <c:v>11.3</c:v>
                </c:pt>
                <c:pt idx="11">
                  <c:v>26.5</c:v>
                </c:pt>
                <c:pt idx="12">
                  <c:v>17.100000000000001</c:v>
                </c:pt>
                <c:pt idx="13">
                  <c:v>16.600000000000001</c:v>
                </c:pt>
                <c:pt idx="14">
                  <c:v>18.099999999999998</c:v>
                </c:pt>
                <c:pt idx="15">
                  <c:v>9.5</c:v>
                </c:pt>
                <c:pt idx="16">
                  <c:v>15.6</c:v>
                </c:pt>
              </c:numCache>
            </c:numRef>
          </c:val>
          <c:extLst>
            <c:ext xmlns:c16="http://schemas.microsoft.com/office/drawing/2014/chart" uri="{C3380CC4-5D6E-409C-BE32-E72D297353CC}">
              <c16:uniqueId val="{00000003-85A5-40EE-A4AD-9E7A506D9647}"/>
            </c:ext>
          </c:extLst>
        </c:ser>
        <c:ser>
          <c:idx val="4"/>
          <c:order val="4"/>
          <c:tx>
            <c:strRef>
              <c:f>'Q22_Tab 59'!$F$5</c:f>
              <c:strCache>
                <c:ptCount val="1"/>
                <c:pt idx="0">
                  <c:v>L'activité a été affectée de manière plus durable et ne reviendra pas à la situation antérieure avant la fin de l'année</c:v>
                </c:pt>
              </c:strCache>
            </c:strRef>
          </c:tx>
          <c:spPr>
            <a:solidFill>
              <a:schemeClr val="accent5"/>
            </a:solidFill>
            <a:ln>
              <a:noFill/>
            </a:ln>
            <a:effectLst/>
          </c:spPr>
          <c:invertIfNegative val="0"/>
          <c:cat>
            <c:strRef>
              <c:f>'Q22_Tab 59'!$A$6:$A$22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59'!$F$6:$F$22</c:f>
              <c:numCache>
                <c:formatCode>0.0</c:formatCode>
                <c:ptCount val="17"/>
                <c:pt idx="0">
                  <c:v>20.3</c:v>
                </c:pt>
                <c:pt idx="1">
                  <c:v>15.9</c:v>
                </c:pt>
                <c:pt idx="2">
                  <c:v>13.4</c:v>
                </c:pt>
                <c:pt idx="3">
                  <c:v>0</c:v>
                </c:pt>
                <c:pt idx="4">
                  <c:v>29.2</c:v>
                </c:pt>
                <c:pt idx="5">
                  <c:v>42.9</c:v>
                </c:pt>
                <c:pt idx="6">
                  <c:v>26.6</c:v>
                </c:pt>
                <c:pt idx="7">
                  <c:v>16.2</c:v>
                </c:pt>
                <c:pt idx="8">
                  <c:v>19.2</c:v>
                </c:pt>
                <c:pt idx="9">
                  <c:v>33.700000000000003</c:v>
                </c:pt>
                <c:pt idx="10">
                  <c:v>33.800000000000004</c:v>
                </c:pt>
                <c:pt idx="11">
                  <c:v>27.3</c:v>
                </c:pt>
                <c:pt idx="12">
                  <c:v>13.8</c:v>
                </c:pt>
                <c:pt idx="13">
                  <c:v>8.2000000000000011</c:v>
                </c:pt>
                <c:pt idx="14">
                  <c:v>20.5</c:v>
                </c:pt>
                <c:pt idx="15">
                  <c:v>7.1999999999999993</c:v>
                </c:pt>
                <c:pt idx="16">
                  <c:v>17</c:v>
                </c:pt>
              </c:numCache>
            </c:numRef>
          </c:val>
          <c:extLst>
            <c:ext xmlns:c16="http://schemas.microsoft.com/office/drawing/2014/chart" uri="{C3380CC4-5D6E-409C-BE32-E72D297353CC}">
              <c16:uniqueId val="{00000004-85A5-40EE-A4AD-9E7A506D9647}"/>
            </c:ext>
          </c:extLst>
        </c:ser>
        <c:ser>
          <c:idx val="5"/>
          <c:order val="5"/>
          <c:tx>
            <c:strRef>
              <c:f>'Q22_Tab 59'!$G$5</c:f>
              <c:strCache>
                <c:ptCount val="1"/>
                <c:pt idx="0">
                  <c:v>Ne sais pas</c:v>
                </c:pt>
              </c:strCache>
            </c:strRef>
          </c:tx>
          <c:spPr>
            <a:solidFill>
              <a:schemeClr val="accent6"/>
            </a:solidFill>
            <a:ln>
              <a:noFill/>
            </a:ln>
            <a:effectLst/>
          </c:spPr>
          <c:invertIfNegative val="0"/>
          <c:cat>
            <c:strRef>
              <c:f>'Q22_Tab 59'!$A$6:$A$22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59'!$G$6:$G$22</c:f>
              <c:numCache>
                <c:formatCode>0.0</c:formatCode>
                <c:ptCount val="17"/>
                <c:pt idx="0">
                  <c:v>21.4</c:v>
                </c:pt>
                <c:pt idx="1">
                  <c:v>7.8</c:v>
                </c:pt>
                <c:pt idx="2">
                  <c:v>17.2</c:v>
                </c:pt>
                <c:pt idx="3">
                  <c:v>0</c:v>
                </c:pt>
                <c:pt idx="4">
                  <c:v>20.399999999999999</c:v>
                </c:pt>
                <c:pt idx="5">
                  <c:v>17.399999999999999</c:v>
                </c:pt>
                <c:pt idx="6">
                  <c:v>23.3</c:v>
                </c:pt>
                <c:pt idx="7">
                  <c:v>20.200000000000003</c:v>
                </c:pt>
                <c:pt idx="8">
                  <c:v>23.599999999999998</c:v>
                </c:pt>
                <c:pt idx="9">
                  <c:v>19.5</c:v>
                </c:pt>
                <c:pt idx="10">
                  <c:v>31.3</c:v>
                </c:pt>
                <c:pt idx="11">
                  <c:v>18.8</c:v>
                </c:pt>
                <c:pt idx="12">
                  <c:v>28.000000000000004</c:v>
                </c:pt>
                <c:pt idx="13">
                  <c:v>16.8</c:v>
                </c:pt>
                <c:pt idx="14">
                  <c:v>20.8</c:v>
                </c:pt>
                <c:pt idx="15">
                  <c:v>20.100000000000001</c:v>
                </c:pt>
                <c:pt idx="16">
                  <c:v>19.8</c:v>
                </c:pt>
              </c:numCache>
            </c:numRef>
          </c:val>
          <c:extLst>
            <c:ext xmlns:c16="http://schemas.microsoft.com/office/drawing/2014/chart" uri="{C3380CC4-5D6E-409C-BE32-E72D297353CC}">
              <c16:uniqueId val="{00000005-85A5-40EE-A4AD-9E7A506D9647}"/>
            </c:ext>
          </c:extLst>
        </c:ser>
        <c:ser>
          <c:idx val="6"/>
          <c:order val="6"/>
          <c:tx>
            <c:strRef>
              <c:f>'Q22_Tab 59'!$H$5</c:f>
              <c:strCache>
                <c:ptCount val="1"/>
                <c:pt idx="0">
                  <c:v>nd</c:v>
                </c:pt>
              </c:strCache>
            </c:strRef>
          </c:tx>
          <c:spPr>
            <a:solidFill>
              <a:schemeClr val="bg1">
                <a:lumMod val="50000"/>
              </a:schemeClr>
            </a:solidFill>
            <a:ln>
              <a:noFill/>
            </a:ln>
            <a:effectLst/>
          </c:spPr>
          <c:invertIfNegative val="0"/>
          <c:cat>
            <c:strRef>
              <c:f>'Q22_Tab 59'!$A$6:$A$22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59'!$H$6:$H$22</c:f>
              <c:numCache>
                <c:formatCode>0.0</c:formatCode>
                <c:ptCount val="17"/>
                <c:pt idx="3">
                  <c:v>95.4</c:v>
                </c:pt>
              </c:numCache>
            </c:numRef>
          </c:val>
          <c:extLst>
            <c:ext xmlns:c16="http://schemas.microsoft.com/office/drawing/2014/chart" uri="{C3380CC4-5D6E-409C-BE32-E72D297353CC}">
              <c16:uniqueId val="{00000006-85A5-40EE-A4AD-9E7A506D9647}"/>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cat>
            <c:strRef>
              <c:f>'Q23_Tab 60'!$A$5:$A$13</c:f>
              <c:strCache>
                <c:ptCount val="9"/>
                <c:pt idx="0">
                  <c:v>Aucune difficulté</c:v>
                </c:pt>
                <c:pt idx="1">
                  <c:v>Manque de débouchés pour les activités</c:v>
                </c:pt>
                <c:pt idx="2">
                  <c:v>Difficultés d'approvisionnement en masques, gels, et autres équipements de protection individuelle</c:v>
                </c:pt>
                <c:pt idx="3">
                  <c:v>Difficultés à organiser l'activité de manière à respecter la distanciation sociale</c:v>
                </c:pt>
                <c:pt idx="4">
                  <c:v>Réticences ou refus des collaborateurs</c:v>
                </c:pt>
                <c:pt idx="5">
                  <c:v>Réticences ou refus des instances représentatives</c:v>
                </c:pt>
                <c:pt idx="6">
                  <c:v>Difficultés d'approvisionnement en matériaux ou équipements nécessaires à l'activité</c:v>
                </c:pt>
                <c:pt idx="7">
                  <c:v>Disponibilité limitée de certains salariés (par exemple pour garde d'enfants)</c:v>
                </c:pt>
                <c:pt idx="8">
                  <c:v>Autre(s) difficulté(s)</c:v>
                </c:pt>
              </c:strCache>
            </c:strRef>
          </c:cat>
          <c:val>
            <c:numRef>
              <c:f>'Q23_Tab 60'!$B$5:$B$13</c:f>
              <c:numCache>
                <c:formatCode>0.0</c:formatCode>
                <c:ptCount val="9"/>
                <c:pt idx="0">
                  <c:v>17.299999999999997</c:v>
                </c:pt>
                <c:pt idx="1">
                  <c:v>36.199999999999996</c:v>
                </c:pt>
                <c:pt idx="2">
                  <c:v>10.299999999999999</c:v>
                </c:pt>
                <c:pt idx="3">
                  <c:v>29.9</c:v>
                </c:pt>
                <c:pt idx="4">
                  <c:v>9.3000000000000007</c:v>
                </c:pt>
                <c:pt idx="5">
                  <c:v>4.7</c:v>
                </c:pt>
                <c:pt idx="6">
                  <c:v>10.199999999999999</c:v>
                </c:pt>
                <c:pt idx="7">
                  <c:v>21.3</c:v>
                </c:pt>
                <c:pt idx="8">
                  <c:v>18.899999999999999</c:v>
                </c:pt>
              </c:numCache>
            </c:numRef>
          </c:val>
          <c:extLst>
            <c:ext xmlns:c16="http://schemas.microsoft.com/office/drawing/2014/chart" uri="{C3380CC4-5D6E-409C-BE32-E72D297353CC}">
              <c16:uniqueId val="{00000000-5BAE-4B54-9E8A-91AF2FECB734}"/>
            </c:ext>
          </c:extLst>
        </c:ser>
        <c:dLbls>
          <c:showLegendKey val="0"/>
          <c:showVal val="0"/>
          <c:showCatName val="0"/>
          <c:showSerName val="0"/>
          <c:showPercent val="0"/>
          <c:showBubbleSize val="0"/>
        </c:dLbls>
        <c:gapWidth val="219"/>
        <c:axId val="752792008"/>
        <c:axId val="752792336"/>
      </c:barChart>
      <c:catAx>
        <c:axId val="752792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52792336"/>
        <c:crosses val="autoZero"/>
        <c:auto val="1"/>
        <c:lblAlgn val="ctr"/>
        <c:lblOffset val="100"/>
        <c:noMultiLvlLbl val="0"/>
      </c:catAx>
      <c:valAx>
        <c:axId val="7527923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2792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cat>
            <c:strRef>
              <c:f>'Q23_Tab 60'!$A$5:$A$13</c:f>
              <c:strCache>
                <c:ptCount val="9"/>
                <c:pt idx="0">
                  <c:v>Aucune difficulté</c:v>
                </c:pt>
                <c:pt idx="1">
                  <c:v>Manque de débouchés pour les activités</c:v>
                </c:pt>
                <c:pt idx="2">
                  <c:v>Difficultés d'approvisionnement en masques, gels, et autres équipements de protection individuelle</c:v>
                </c:pt>
                <c:pt idx="3">
                  <c:v>Difficultés à organiser l'activité de manière à respecter la distanciation sociale</c:v>
                </c:pt>
                <c:pt idx="4">
                  <c:v>Réticences ou refus des collaborateurs</c:v>
                </c:pt>
                <c:pt idx="5">
                  <c:v>Réticences ou refus des instances représentatives</c:v>
                </c:pt>
                <c:pt idx="6">
                  <c:v>Difficultés d'approvisionnement en matériaux ou équipements nécessaires à l'activité</c:v>
                </c:pt>
                <c:pt idx="7">
                  <c:v>Disponibilité limitée de certains salariés (par exemple pour garde d'enfants)</c:v>
                </c:pt>
                <c:pt idx="8">
                  <c:v>Autre(s) difficulté(s)</c:v>
                </c:pt>
              </c:strCache>
            </c:strRef>
          </c:cat>
          <c:val>
            <c:numRef>
              <c:f>'Q23_Tab 60'!$B$5:$B$13</c:f>
              <c:numCache>
                <c:formatCode>0.0</c:formatCode>
                <c:ptCount val="9"/>
                <c:pt idx="0">
                  <c:v>17.299999999999997</c:v>
                </c:pt>
                <c:pt idx="1">
                  <c:v>36.199999999999996</c:v>
                </c:pt>
                <c:pt idx="2">
                  <c:v>10.299999999999999</c:v>
                </c:pt>
                <c:pt idx="3">
                  <c:v>29.9</c:v>
                </c:pt>
                <c:pt idx="4">
                  <c:v>9.3000000000000007</c:v>
                </c:pt>
                <c:pt idx="5">
                  <c:v>4.7</c:v>
                </c:pt>
                <c:pt idx="6">
                  <c:v>10.199999999999999</c:v>
                </c:pt>
                <c:pt idx="7">
                  <c:v>21.3</c:v>
                </c:pt>
                <c:pt idx="8">
                  <c:v>18.899999999999999</c:v>
                </c:pt>
              </c:numCache>
            </c:numRef>
          </c:val>
          <c:extLst>
            <c:ext xmlns:c16="http://schemas.microsoft.com/office/drawing/2014/chart" uri="{C3380CC4-5D6E-409C-BE32-E72D297353CC}">
              <c16:uniqueId val="{00000000-69E0-4C41-81AC-4866B43890C6}"/>
            </c:ext>
          </c:extLst>
        </c:ser>
        <c:dLbls>
          <c:showLegendKey val="0"/>
          <c:showVal val="0"/>
          <c:showCatName val="0"/>
          <c:showSerName val="0"/>
          <c:showPercent val="0"/>
          <c:showBubbleSize val="0"/>
        </c:dLbls>
        <c:gapWidth val="219"/>
        <c:axId val="752792008"/>
        <c:axId val="752792336"/>
      </c:barChart>
      <c:catAx>
        <c:axId val="752792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52792336"/>
        <c:crosses val="autoZero"/>
        <c:auto val="1"/>
        <c:lblAlgn val="ctr"/>
        <c:lblOffset val="100"/>
        <c:noMultiLvlLbl val="0"/>
      </c:catAx>
      <c:valAx>
        <c:axId val="7527923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2792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'Q23_Tab 61'!$A$6</c:f>
              <c:strCache>
                <c:ptCount val="1"/>
                <c:pt idx="0">
                  <c:v>Aucune difficulté</c:v>
                </c:pt>
              </c:strCache>
            </c:strRef>
          </c:tx>
          <c:spPr>
            <a:solidFill>
              <a:schemeClr val="accent1"/>
            </a:solidFill>
            <a:ln>
              <a:noFill/>
            </a:ln>
            <a:effectLst/>
          </c:spPr>
          <c:invertIfNegative val="0"/>
          <c:cat>
            <c:strRef>
              <c:f>'Q23_Tab 61'!$B$5:$H$5</c:f>
              <c:strCache>
                <c:ptCount val="7"/>
                <c:pt idx="0">
                  <c:v>Ensemble</c:v>
                </c:pt>
                <c:pt idx="1">
                  <c:v>10 - 19</c:v>
                </c:pt>
                <c:pt idx="2">
                  <c:v>20 - 49</c:v>
                </c:pt>
                <c:pt idx="3">
                  <c:v>50 - 99</c:v>
                </c:pt>
                <c:pt idx="4">
                  <c:v>100 - 249</c:v>
                </c:pt>
                <c:pt idx="5">
                  <c:v>250 - 499</c:v>
                </c:pt>
                <c:pt idx="6">
                  <c:v>500 et +</c:v>
                </c:pt>
              </c:strCache>
            </c:strRef>
          </c:cat>
          <c:val>
            <c:numRef>
              <c:f>'Q23_Tab 61'!$B$6:$H$6</c:f>
              <c:numCache>
                <c:formatCode>0.0</c:formatCode>
                <c:ptCount val="7"/>
                <c:pt idx="0">
                  <c:v>17.299999999999997</c:v>
                </c:pt>
                <c:pt idx="1">
                  <c:v>25.6</c:v>
                </c:pt>
                <c:pt idx="2">
                  <c:v>22.2</c:v>
                </c:pt>
                <c:pt idx="3">
                  <c:v>20.8</c:v>
                </c:pt>
                <c:pt idx="4">
                  <c:v>19.7</c:v>
                </c:pt>
                <c:pt idx="5">
                  <c:v>16.5</c:v>
                </c:pt>
                <c:pt idx="6">
                  <c:v>11.4</c:v>
                </c:pt>
              </c:numCache>
            </c:numRef>
          </c:val>
          <c:extLst>
            <c:ext xmlns:c16="http://schemas.microsoft.com/office/drawing/2014/chart" uri="{C3380CC4-5D6E-409C-BE32-E72D297353CC}">
              <c16:uniqueId val="{00000000-D1A4-4D89-A792-9C9E06A3B07A}"/>
            </c:ext>
          </c:extLst>
        </c:ser>
        <c:ser>
          <c:idx val="1"/>
          <c:order val="1"/>
          <c:tx>
            <c:strRef>
              <c:f>'Q23_Tab 61'!$A$7</c:f>
              <c:strCache>
                <c:ptCount val="1"/>
                <c:pt idx="0">
                  <c:v>Manque de débouchés pour les activités</c:v>
                </c:pt>
              </c:strCache>
            </c:strRef>
          </c:tx>
          <c:spPr>
            <a:solidFill>
              <a:schemeClr val="accent2"/>
            </a:solidFill>
            <a:ln>
              <a:noFill/>
            </a:ln>
            <a:effectLst/>
          </c:spPr>
          <c:invertIfNegative val="0"/>
          <c:cat>
            <c:strRef>
              <c:f>'Q23_Tab 61'!$B$5:$H$5</c:f>
              <c:strCache>
                <c:ptCount val="7"/>
                <c:pt idx="0">
                  <c:v>Ensemble</c:v>
                </c:pt>
                <c:pt idx="1">
                  <c:v>10 - 19</c:v>
                </c:pt>
                <c:pt idx="2">
                  <c:v>20 - 49</c:v>
                </c:pt>
                <c:pt idx="3">
                  <c:v>50 - 99</c:v>
                </c:pt>
                <c:pt idx="4">
                  <c:v>100 - 249</c:v>
                </c:pt>
                <c:pt idx="5">
                  <c:v>250 - 499</c:v>
                </c:pt>
                <c:pt idx="6">
                  <c:v>500 et +</c:v>
                </c:pt>
              </c:strCache>
            </c:strRef>
          </c:cat>
          <c:val>
            <c:numRef>
              <c:f>'Q23_Tab 61'!$B$7:$H$7</c:f>
              <c:numCache>
                <c:formatCode>0.0</c:formatCode>
                <c:ptCount val="7"/>
                <c:pt idx="0">
                  <c:v>36.199999999999996</c:v>
                </c:pt>
                <c:pt idx="1">
                  <c:v>36.1</c:v>
                </c:pt>
                <c:pt idx="2">
                  <c:v>36.799999999999997</c:v>
                </c:pt>
                <c:pt idx="3">
                  <c:v>35.9</c:v>
                </c:pt>
                <c:pt idx="4">
                  <c:v>36</c:v>
                </c:pt>
                <c:pt idx="5">
                  <c:v>32.1</c:v>
                </c:pt>
                <c:pt idx="6">
                  <c:v>37.200000000000003</c:v>
                </c:pt>
              </c:numCache>
            </c:numRef>
          </c:val>
          <c:extLst>
            <c:ext xmlns:c16="http://schemas.microsoft.com/office/drawing/2014/chart" uri="{C3380CC4-5D6E-409C-BE32-E72D297353CC}">
              <c16:uniqueId val="{00000001-D1A4-4D89-A792-9C9E06A3B07A}"/>
            </c:ext>
          </c:extLst>
        </c:ser>
        <c:ser>
          <c:idx val="2"/>
          <c:order val="2"/>
          <c:tx>
            <c:strRef>
              <c:f>'Q23_Tab 61'!$A$8</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'Q23_Tab 61'!$B$5:$H$5</c:f>
              <c:strCache>
                <c:ptCount val="7"/>
                <c:pt idx="0">
                  <c:v>Ensemble</c:v>
                </c:pt>
                <c:pt idx="1">
                  <c:v>10 - 19</c:v>
                </c:pt>
                <c:pt idx="2">
                  <c:v>20 - 49</c:v>
                </c:pt>
                <c:pt idx="3">
                  <c:v>50 - 99</c:v>
                </c:pt>
                <c:pt idx="4">
                  <c:v>100 - 249</c:v>
                </c:pt>
                <c:pt idx="5">
                  <c:v>250 - 499</c:v>
                </c:pt>
                <c:pt idx="6">
                  <c:v>500 et +</c:v>
                </c:pt>
              </c:strCache>
            </c:strRef>
          </c:cat>
          <c:val>
            <c:numRef>
              <c:f>'Q23_Tab 61'!$B$8:$H$8</c:f>
              <c:numCache>
                <c:formatCode>0.0</c:formatCode>
                <c:ptCount val="7"/>
                <c:pt idx="0">
                  <c:v>10.299999999999999</c:v>
                </c:pt>
                <c:pt idx="1">
                  <c:v>5.8999999999999995</c:v>
                </c:pt>
                <c:pt idx="2">
                  <c:v>8.6</c:v>
                </c:pt>
                <c:pt idx="3">
                  <c:v>10.299999999999999</c:v>
                </c:pt>
                <c:pt idx="4">
                  <c:v>9.6</c:v>
                </c:pt>
                <c:pt idx="5">
                  <c:v>9.5</c:v>
                </c:pt>
                <c:pt idx="6">
                  <c:v>12.8</c:v>
                </c:pt>
              </c:numCache>
            </c:numRef>
          </c:val>
          <c:extLst>
            <c:ext xmlns:c16="http://schemas.microsoft.com/office/drawing/2014/chart" uri="{C3380CC4-5D6E-409C-BE32-E72D297353CC}">
              <c16:uniqueId val="{00000002-D1A4-4D89-A792-9C9E06A3B07A}"/>
            </c:ext>
          </c:extLst>
        </c:ser>
        <c:ser>
          <c:idx val="3"/>
          <c:order val="3"/>
          <c:tx>
            <c:strRef>
              <c:f>'Q23_Tab 61'!$A$9</c:f>
              <c:strCache>
                <c:ptCount val="1"/>
                <c:pt idx="0">
                  <c:v>Difficultés à organiser l'activité de manière à respecter la distanciation sociale</c:v>
                </c:pt>
              </c:strCache>
            </c:strRef>
          </c:tx>
          <c:spPr>
            <a:solidFill>
              <a:schemeClr val="accent4"/>
            </a:solidFill>
            <a:ln>
              <a:noFill/>
            </a:ln>
            <a:effectLst/>
          </c:spPr>
          <c:invertIfNegative val="0"/>
          <c:cat>
            <c:strRef>
              <c:f>'Q23_Tab 61'!$B$5:$H$5</c:f>
              <c:strCache>
                <c:ptCount val="7"/>
                <c:pt idx="0">
                  <c:v>Ensemble</c:v>
                </c:pt>
                <c:pt idx="1">
                  <c:v>10 - 19</c:v>
                </c:pt>
                <c:pt idx="2">
                  <c:v>20 - 49</c:v>
                </c:pt>
                <c:pt idx="3">
                  <c:v>50 - 99</c:v>
                </c:pt>
                <c:pt idx="4">
                  <c:v>100 - 249</c:v>
                </c:pt>
                <c:pt idx="5">
                  <c:v>250 - 499</c:v>
                </c:pt>
                <c:pt idx="6">
                  <c:v>500 et +</c:v>
                </c:pt>
              </c:strCache>
            </c:strRef>
          </c:cat>
          <c:val>
            <c:numRef>
              <c:f>'Q23_Tab 61'!$B$9:$H$9</c:f>
              <c:numCache>
                <c:formatCode>0.0</c:formatCode>
                <c:ptCount val="7"/>
                <c:pt idx="0">
                  <c:v>29.9</c:v>
                </c:pt>
                <c:pt idx="1">
                  <c:v>24.7</c:v>
                </c:pt>
                <c:pt idx="2">
                  <c:v>25.2</c:v>
                </c:pt>
                <c:pt idx="3">
                  <c:v>26.400000000000002</c:v>
                </c:pt>
                <c:pt idx="4">
                  <c:v>25.4</c:v>
                </c:pt>
                <c:pt idx="5">
                  <c:v>29.299999999999997</c:v>
                </c:pt>
                <c:pt idx="6">
                  <c:v>35.9</c:v>
                </c:pt>
              </c:numCache>
            </c:numRef>
          </c:val>
          <c:extLst>
            <c:ext xmlns:c16="http://schemas.microsoft.com/office/drawing/2014/chart" uri="{C3380CC4-5D6E-409C-BE32-E72D297353CC}">
              <c16:uniqueId val="{00000003-D1A4-4D89-A792-9C9E06A3B07A}"/>
            </c:ext>
          </c:extLst>
        </c:ser>
        <c:ser>
          <c:idx val="4"/>
          <c:order val="4"/>
          <c:tx>
            <c:strRef>
              <c:f>'Q23_Tab 61'!$A$10</c:f>
              <c:strCache>
                <c:ptCount val="1"/>
                <c:pt idx="0">
                  <c:v>Réticences ou refus des collaborateurs</c:v>
                </c:pt>
              </c:strCache>
            </c:strRef>
          </c:tx>
          <c:spPr>
            <a:solidFill>
              <a:schemeClr val="accent5"/>
            </a:solidFill>
            <a:ln>
              <a:noFill/>
            </a:ln>
            <a:effectLst/>
          </c:spPr>
          <c:invertIfNegative val="0"/>
          <c:cat>
            <c:strRef>
              <c:f>'Q23_Tab 61'!$B$5:$H$5</c:f>
              <c:strCache>
                <c:ptCount val="7"/>
                <c:pt idx="0">
                  <c:v>Ensemble</c:v>
                </c:pt>
                <c:pt idx="1">
                  <c:v>10 - 19</c:v>
                </c:pt>
                <c:pt idx="2">
                  <c:v>20 - 49</c:v>
                </c:pt>
                <c:pt idx="3">
                  <c:v>50 - 99</c:v>
                </c:pt>
                <c:pt idx="4">
                  <c:v>100 - 249</c:v>
                </c:pt>
                <c:pt idx="5">
                  <c:v>250 - 499</c:v>
                </c:pt>
                <c:pt idx="6">
                  <c:v>500 et +</c:v>
                </c:pt>
              </c:strCache>
            </c:strRef>
          </c:cat>
          <c:val>
            <c:numRef>
              <c:f>'Q23_Tab 61'!$B$10:$H$10</c:f>
              <c:numCache>
                <c:formatCode>0.0</c:formatCode>
                <c:ptCount val="7"/>
                <c:pt idx="0">
                  <c:v>9.3000000000000007</c:v>
                </c:pt>
                <c:pt idx="1">
                  <c:v>9.3000000000000007</c:v>
                </c:pt>
                <c:pt idx="2">
                  <c:v>5.7</c:v>
                </c:pt>
                <c:pt idx="3">
                  <c:v>7.5</c:v>
                </c:pt>
                <c:pt idx="4">
                  <c:v>10.100000000000001</c:v>
                </c:pt>
                <c:pt idx="5">
                  <c:v>10.299999999999999</c:v>
                </c:pt>
                <c:pt idx="6">
                  <c:v>11.899999999999999</c:v>
                </c:pt>
              </c:numCache>
            </c:numRef>
          </c:val>
          <c:extLst>
            <c:ext xmlns:c16="http://schemas.microsoft.com/office/drawing/2014/chart" uri="{C3380CC4-5D6E-409C-BE32-E72D297353CC}">
              <c16:uniqueId val="{00000004-D1A4-4D89-A792-9C9E06A3B07A}"/>
            </c:ext>
          </c:extLst>
        </c:ser>
        <c:ser>
          <c:idx val="5"/>
          <c:order val="5"/>
          <c:tx>
            <c:strRef>
              <c:f>'Q23_Tab 61'!$A$11</c:f>
              <c:strCache>
                <c:ptCount val="1"/>
                <c:pt idx="0">
                  <c:v>Réticences ou refus des instances représentatives</c:v>
                </c:pt>
              </c:strCache>
            </c:strRef>
          </c:tx>
          <c:spPr>
            <a:solidFill>
              <a:schemeClr val="accent6"/>
            </a:solidFill>
            <a:ln>
              <a:noFill/>
            </a:ln>
            <a:effectLst/>
          </c:spPr>
          <c:invertIfNegative val="0"/>
          <c:cat>
            <c:strRef>
              <c:f>'Q23_Tab 61'!$B$5:$H$5</c:f>
              <c:strCache>
                <c:ptCount val="7"/>
                <c:pt idx="0">
                  <c:v>Ensemble</c:v>
                </c:pt>
                <c:pt idx="1">
                  <c:v>10 - 19</c:v>
                </c:pt>
                <c:pt idx="2">
                  <c:v>20 - 49</c:v>
                </c:pt>
                <c:pt idx="3">
                  <c:v>50 - 99</c:v>
                </c:pt>
                <c:pt idx="4">
                  <c:v>100 - 249</c:v>
                </c:pt>
                <c:pt idx="5">
                  <c:v>250 - 499</c:v>
                </c:pt>
                <c:pt idx="6">
                  <c:v>500 et +</c:v>
                </c:pt>
              </c:strCache>
            </c:strRef>
          </c:cat>
          <c:val>
            <c:numRef>
              <c:f>'Q23_Tab 61'!$B$11:$H$11</c:f>
              <c:numCache>
                <c:formatCode>0.0</c:formatCode>
                <c:ptCount val="7"/>
                <c:pt idx="0">
                  <c:v>4.7</c:v>
                </c:pt>
                <c:pt idx="1">
                  <c:v>4.7</c:v>
                </c:pt>
                <c:pt idx="2">
                  <c:v>0.8</c:v>
                </c:pt>
                <c:pt idx="3">
                  <c:v>2</c:v>
                </c:pt>
                <c:pt idx="4">
                  <c:v>3.1</c:v>
                </c:pt>
                <c:pt idx="5">
                  <c:v>2.6</c:v>
                </c:pt>
                <c:pt idx="6">
                  <c:v>9.1999999999999993</c:v>
                </c:pt>
              </c:numCache>
            </c:numRef>
          </c:val>
          <c:extLst>
            <c:ext xmlns:c16="http://schemas.microsoft.com/office/drawing/2014/chart" uri="{C3380CC4-5D6E-409C-BE32-E72D297353CC}">
              <c16:uniqueId val="{00000005-D1A4-4D89-A792-9C9E06A3B07A}"/>
            </c:ext>
          </c:extLst>
        </c:ser>
        <c:ser>
          <c:idx val="6"/>
          <c:order val="6"/>
          <c:tx>
            <c:strRef>
              <c:f>'Q23_Tab 61'!$A$12</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'Q23_Tab 61'!$B$5:$H$5</c:f>
              <c:strCache>
                <c:ptCount val="7"/>
                <c:pt idx="0">
                  <c:v>Ensemble</c:v>
                </c:pt>
                <c:pt idx="1">
                  <c:v>10 - 19</c:v>
                </c:pt>
                <c:pt idx="2">
                  <c:v>20 - 49</c:v>
                </c:pt>
                <c:pt idx="3">
                  <c:v>50 - 99</c:v>
                </c:pt>
                <c:pt idx="4">
                  <c:v>100 - 249</c:v>
                </c:pt>
                <c:pt idx="5">
                  <c:v>250 - 499</c:v>
                </c:pt>
                <c:pt idx="6">
                  <c:v>500 et +</c:v>
                </c:pt>
              </c:strCache>
            </c:strRef>
          </c:cat>
          <c:val>
            <c:numRef>
              <c:f>'Q23_Tab 61'!$B$12:$H$12</c:f>
              <c:numCache>
                <c:formatCode>0.0</c:formatCode>
                <c:ptCount val="7"/>
                <c:pt idx="0">
                  <c:v>10.199999999999999</c:v>
                </c:pt>
                <c:pt idx="1">
                  <c:v>10.199999999999999</c:v>
                </c:pt>
                <c:pt idx="2">
                  <c:v>8.5</c:v>
                </c:pt>
                <c:pt idx="3">
                  <c:v>9.3000000000000007</c:v>
                </c:pt>
                <c:pt idx="4">
                  <c:v>9.3000000000000007</c:v>
                </c:pt>
                <c:pt idx="5">
                  <c:v>8.6999999999999993</c:v>
                </c:pt>
                <c:pt idx="6">
                  <c:v>11.4</c:v>
                </c:pt>
              </c:numCache>
            </c:numRef>
          </c:val>
          <c:extLst>
            <c:ext xmlns:c16="http://schemas.microsoft.com/office/drawing/2014/chart" uri="{C3380CC4-5D6E-409C-BE32-E72D297353CC}">
              <c16:uniqueId val="{00000006-D1A4-4D89-A792-9C9E06A3B07A}"/>
            </c:ext>
          </c:extLst>
        </c:ser>
        <c:ser>
          <c:idx val="7"/>
          <c:order val="7"/>
          <c:tx>
            <c:strRef>
              <c:f>'Q23_Tab 61'!$A$13</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'Q23_Tab 61'!$B$5:$H$5</c:f>
              <c:strCache>
                <c:ptCount val="7"/>
                <c:pt idx="0">
                  <c:v>Ensemble</c:v>
                </c:pt>
                <c:pt idx="1">
                  <c:v>10 - 19</c:v>
                </c:pt>
                <c:pt idx="2">
                  <c:v>20 - 49</c:v>
                </c:pt>
                <c:pt idx="3">
                  <c:v>50 - 99</c:v>
                </c:pt>
                <c:pt idx="4">
                  <c:v>100 - 249</c:v>
                </c:pt>
                <c:pt idx="5">
                  <c:v>250 - 499</c:v>
                </c:pt>
                <c:pt idx="6">
                  <c:v>500 et +</c:v>
                </c:pt>
              </c:strCache>
            </c:strRef>
          </c:cat>
          <c:val>
            <c:numRef>
              <c:f>'Q23_Tab 61'!$B$13:$H$13</c:f>
              <c:numCache>
                <c:formatCode>0.0</c:formatCode>
                <c:ptCount val="7"/>
                <c:pt idx="0">
                  <c:v>21.3</c:v>
                </c:pt>
                <c:pt idx="1">
                  <c:v>21.3</c:v>
                </c:pt>
                <c:pt idx="2">
                  <c:v>12.6</c:v>
                </c:pt>
                <c:pt idx="3">
                  <c:v>15.9</c:v>
                </c:pt>
                <c:pt idx="4">
                  <c:v>18.5</c:v>
                </c:pt>
                <c:pt idx="5">
                  <c:v>23.799999999999997</c:v>
                </c:pt>
                <c:pt idx="6">
                  <c:v>30.5</c:v>
                </c:pt>
              </c:numCache>
            </c:numRef>
          </c:val>
          <c:extLst>
            <c:ext xmlns:c16="http://schemas.microsoft.com/office/drawing/2014/chart" uri="{C3380CC4-5D6E-409C-BE32-E72D297353CC}">
              <c16:uniqueId val="{00000007-D1A4-4D89-A792-9C9E06A3B07A}"/>
            </c:ext>
          </c:extLst>
        </c:ser>
        <c:ser>
          <c:idx val="8"/>
          <c:order val="8"/>
          <c:tx>
            <c:strRef>
              <c:f>'Q23_Tab 61'!$A$14</c:f>
              <c:strCache>
                <c:ptCount val="1"/>
                <c:pt idx="0">
                  <c:v>Autre(s) difficulté(s)</c:v>
                </c:pt>
              </c:strCache>
            </c:strRef>
          </c:tx>
          <c:spPr>
            <a:solidFill>
              <a:schemeClr val="accent3">
                <a:lumMod val="60000"/>
              </a:schemeClr>
            </a:solidFill>
            <a:ln>
              <a:noFill/>
            </a:ln>
            <a:effectLst/>
          </c:spPr>
          <c:invertIfNegative val="0"/>
          <c:cat>
            <c:strRef>
              <c:f>'Q23_Tab 61'!$B$5:$H$5</c:f>
              <c:strCache>
                <c:ptCount val="7"/>
                <c:pt idx="0">
                  <c:v>Ensemble</c:v>
                </c:pt>
                <c:pt idx="1">
                  <c:v>10 - 19</c:v>
                </c:pt>
                <c:pt idx="2">
                  <c:v>20 - 49</c:v>
                </c:pt>
                <c:pt idx="3">
                  <c:v>50 - 99</c:v>
                </c:pt>
                <c:pt idx="4">
                  <c:v>100 - 249</c:v>
                </c:pt>
                <c:pt idx="5">
                  <c:v>250 - 499</c:v>
                </c:pt>
                <c:pt idx="6">
                  <c:v>500 et +</c:v>
                </c:pt>
              </c:strCache>
            </c:strRef>
          </c:cat>
          <c:val>
            <c:numRef>
              <c:f>'Q23_Tab 61'!$B$14:$H$14</c:f>
              <c:numCache>
                <c:formatCode>0.0</c:formatCode>
                <c:ptCount val="7"/>
                <c:pt idx="0">
                  <c:v>18.899999999999999</c:v>
                </c:pt>
                <c:pt idx="1">
                  <c:v>18.899999999999999</c:v>
                </c:pt>
                <c:pt idx="2">
                  <c:v>20.5</c:v>
                </c:pt>
                <c:pt idx="3">
                  <c:v>19.900000000000002</c:v>
                </c:pt>
                <c:pt idx="4">
                  <c:v>20.100000000000001</c:v>
                </c:pt>
                <c:pt idx="5">
                  <c:v>22.1</c:v>
                </c:pt>
                <c:pt idx="6">
                  <c:v>16.7</c:v>
                </c:pt>
              </c:numCache>
            </c:numRef>
          </c:val>
          <c:extLst>
            <c:ext xmlns:c16="http://schemas.microsoft.com/office/drawing/2014/chart" uri="{C3380CC4-5D6E-409C-BE32-E72D297353CC}">
              <c16:uniqueId val="{00000008-D1A4-4D89-A792-9C9E06A3B07A}"/>
            </c:ext>
          </c:extLst>
        </c:ser>
        <c:dLbls>
          <c:showLegendKey val="0"/>
          <c:showVal val="0"/>
          <c:showCatName val="0"/>
          <c:showSerName val="0"/>
          <c:showPercent val="0"/>
          <c:showBubbleSize val="0"/>
        </c:dLbls>
        <c:gapWidth val="150"/>
        <c:overlap val="100"/>
        <c:axId val="688277200"/>
        <c:axId val="688278840"/>
      </c:barChart>
      <c:catAx>
        <c:axId val="68827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8278840"/>
        <c:crosses val="autoZero"/>
        <c:auto val="1"/>
        <c:lblAlgn val="ctr"/>
        <c:lblOffset val="100"/>
        <c:noMultiLvlLbl val="0"/>
      </c:catAx>
      <c:valAx>
        <c:axId val="6882788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8277200"/>
        <c:crosses val="autoZero"/>
        <c:crossBetween val="between"/>
      </c:valAx>
      <c:spPr>
        <a:noFill/>
        <a:ln>
          <a:noFill/>
        </a:ln>
        <a:effectLst/>
      </c:spPr>
    </c:plotArea>
    <c:legend>
      <c:legendPos val="b"/>
      <c:layout>
        <c:manualLayout>
          <c:xMode val="edge"/>
          <c:yMode val="edge"/>
          <c:x val="7.433306245573262E-3"/>
          <c:y val="0.58897541917976104"/>
          <c:w val="0.95417895651159723"/>
          <c:h val="0.3947974208228396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'Q23_Tab 61'!$A$6</c:f>
              <c:strCache>
                <c:ptCount val="1"/>
                <c:pt idx="0">
                  <c:v>Aucune difficulté</c:v>
                </c:pt>
              </c:strCache>
            </c:strRef>
          </c:tx>
          <c:spPr>
            <a:solidFill>
              <a:schemeClr val="accent1"/>
            </a:solidFill>
            <a:ln>
              <a:noFill/>
            </a:ln>
            <a:effectLst/>
          </c:spPr>
          <c:invertIfNegative val="0"/>
          <c:cat>
            <c:strRef>
              <c:f>'Q23_Tab 61'!$B$5:$H$5</c:f>
              <c:strCache>
                <c:ptCount val="7"/>
                <c:pt idx="0">
                  <c:v>Ensemble</c:v>
                </c:pt>
                <c:pt idx="1">
                  <c:v>10 - 19</c:v>
                </c:pt>
                <c:pt idx="2">
                  <c:v>20 - 49</c:v>
                </c:pt>
                <c:pt idx="3">
                  <c:v>50 - 99</c:v>
                </c:pt>
                <c:pt idx="4">
                  <c:v>100 - 249</c:v>
                </c:pt>
                <c:pt idx="5">
                  <c:v>250 - 499</c:v>
                </c:pt>
                <c:pt idx="6">
                  <c:v>500 et +</c:v>
                </c:pt>
              </c:strCache>
            </c:strRef>
          </c:cat>
          <c:val>
            <c:numRef>
              <c:f>'Q23_Tab 61'!$B$6:$H$6</c:f>
              <c:numCache>
                <c:formatCode>0.0</c:formatCode>
                <c:ptCount val="7"/>
                <c:pt idx="0">
                  <c:v>17.299999999999997</c:v>
                </c:pt>
                <c:pt idx="1">
                  <c:v>25.6</c:v>
                </c:pt>
                <c:pt idx="2">
                  <c:v>22.2</c:v>
                </c:pt>
                <c:pt idx="3">
                  <c:v>20.8</c:v>
                </c:pt>
                <c:pt idx="4">
                  <c:v>19.7</c:v>
                </c:pt>
                <c:pt idx="5">
                  <c:v>16.5</c:v>
                </c:pt>
                <c:pt idx="6">
                  <c:v>11.4</c:v>
                </c:pt>
              </c:numCache>
            </c:numRef>
          </c:val>
          <c:extLst>
            <c:ext xmlns:c16="http://schemas.microsoft.com/office/drawing/2014/chart" uri="{C3380CC4-5D6E-409C-BE32-E72D297353CC}">
              <c16:uniqueId val="{00000000-CCA8-4B55-B14F-12677AE98A0D}"/>
            </c:ext>
          </c:extLst>
        </c:ser>
        <c:ser>
          <c:idx val="1"/>
          <c:order val="1"/>
          <c:tx>
            <c:strRef>
              <c:f>'Q23_Tab 61'!$A$7</c:f>
              <c:strCache>
                <c:ptCount val="1"/>
                <c:pt idx="0">
                  <c:v>Manque de débouchés pour les activités</c:v>
                </c:pt>
              </c:strCache>
            </c:strRef>
          </c:tx>
          <c:spPr>
            <a:solidFill>
              <a:schemeClr val="accent2"/>
            </a:solidFill>
            <a:ln>
              <a:noFill/>
            </a:ln>
            <a:effectLst/>
          </c:spPr>
          <c:invertIfNegative val="0"/>
          <c:cat>
            <c:strRef>
              <c:f>'Q23_Tab 61'!$B$5:$H$5</c:f>
              <c:strCache>
                <c:ptCount val="7"/>
                <c:pt idx="0">
                  <c:v>Ensemble</c:v>
                </c:pt>
                <c:pt idx="1">
                  <c:v>10 - 19</c:v>
                </c:pt>
                <c:pt idx="2">
                  <c:v>20 - 49</c:v>
                </c:pt>
                <c:pt idx="3">
                  <c:v>50 - 99</c:v>
                </c:pt>
                <c:pt idx="4">
                  <c:v>100 - 249</c:v>
                </c:pt>
                <c:pt idx="5">
                  <c:v>250 - 499</c:v>
                </c:pt>
                <c:pt idx="6">
                  <c:v>500 et +</c:v>
                </c:pt>
              </c:strCache>
            </c:strRef>
          </c:cat>
          <c:val>
            <c:numRef>
              <c:f>'Q23_Tab 61'!$B$7:$H$7</c:f>
              <c:numCache>
                <c:formatCode>0.0</c:formatCode>
                <c:ptCount val="7"/>
                <c:pt idx="0">
                  <c:v>36.199999999999996</c:v>
                </c:pt>
                <c:pt idx="1">
                  <c:v>36.1</c:v>
                </c:pt>
                <c:pt idx="2">
                  <c:v>36.799999999999997</c:v>
                </c:pt>
                <c:pt idx="3">
                  <c:v>35.9</c:v>
                </c:pt>
                <c:pt idx="4">
                  <c:v>36</c:v>
                </c:pt>
                <c:pt idx="5">
                  <c:v>32.1</c:v>
                </c:pt>
                <c:pt idx="6">
                  <c:v>37.200000000000003</c:v>
                </c:pt>
              </c:numCache>
            </c:numRef>
          </c:val>
          <c:extLst>
            <c:ext xmlns:c16="http://schemas.microsoft.com/office/drawing/2014/chart" uri="{C3380CC4-5D6E-409C-BE32-E72D297353CC}">
              <c16:uniqueId val="{00000001-CCA8-4B55-B14F-12677AE98A0D}"/>
            </c:ext>
          </c:extLst>
        </c:ser>
        <c:ser>
          <c:idx val="2"/>
          <c:order val="2"/>
          <c:tx>
            <c:strRef>
              <c:f>'Q23_Tab 61'!$A$8</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'Q23_Tab 61'!$B$5:$H$5</c:f>
              <c:strCache>
                <c:ptCount val="7"/>
                <c:pt idx="0">
                  <c:v>Ensemble</c:v>
                </c:pt>
                <c:pt idx="1">
                  <c:v>10 - 19</c:v>
                </c:pt>
                <c:pt idx="2">
                  <c:v>20 - 49</c:v>
                </c:pt>
                <c:pt idx="3">
                  <c:v>50 - 99</c:v>
                </c:pt>
                <c:pt idx="4">
                  <c:v>100 - 249</c:v>
                </c:pt>
                <c:pt idx="5">
                  <c:v>250 - 499</c:v>
                </c:pt>
                <c:pt idx="6">
                  <c:v>500 et +</c:v>
                </c:pt>
              </c:strCache>
            </c:strRef>
          </c:cat>
          <c:val>
            <c:numRef>
              <c:f>'Q23_Tab 61'!$B$8:$H$8</c:f>
              <c:numCache>
                <c:formatCode>0.0</c:formatCode>
                <c:ptCount val="7"/>
                <c:pt idx="0">
                  <c:v>10.299999999999999</c:v>
                </c:pt>
                <c:pt idx="1">
                  <c:v>5.8999999999999995</c:v>
                </c:pt>
                <c:pt idx="2">
                  <c:v>8.6</c:v>
                </c:pt>
                <c:pt idx="3">
                  <c:v>10.299999999999999</c:v>
                </c:pt>
                <c:pt idx="4">
                  <c:v>9.6</c:v>
                </c:pt>
                <c:pt idx="5">
                  <c:v>9.5</c:v>
                </c:pt>
                <c:pt idx="6">
                  <c:v>12.8</c:v>
                </c:pt>
              </c:numCache>
            </c:numRef>
          </c:val>
          <c:extLst>
            <c:ext xmlns:c16="http://schemas.microsoft.com/office/drawing/2014/chart" uri="{C3380CC4-5D6E-409C-BE32-E72D297353CC}">
              <c16:uniqueId val="{00000002-CCA8-4B55-B14F-12677AE98A0D}"/>
            </c:ext>
          </c:extLst>
        </c:ser>
        <c:ser>
          <c:idx val="3"/>
          <c:order val="3"/>
          <c:tx>
            <c:strRef>
              <c:f>'Q23_Tab 61'!$A$9</c:f>
              <c:strCache>
                <c:ptCount val="1"/>
                <c:pt idx="0">
                  <c:v>Difficultés à organiser l'activité de manière à respecter la distanciation sociale</c:v>
                </c:pt>
              </c:strCache>
            </c:strRef>
          </c:tx>
          <c:spPr>
            <a:solidFill>
              <a:schemeClr val="accent4"/>
            </a:solidFill>
            <a:ln>
              <a:noFill/>
            </a:ln>
            <a:effectLst/>
          </c:spPr>
          <c:invertIfNegative val="0"/>
          <c:cat>
            <c:strRef>
              <c:f>'Q23_Tab 61'!$B$5:$H$5</c:f>
              <c:strCache>
                <c:ptCount val="7"/>
                <c:pt idx="0">
                  <c:v>Ensemble</c:v>
                </c:pt>
                <c:pt idx="1">
                  <c:v>10 - 19</c:v>
                </c:pt>
                <c:pt idx="2">
                  <c:v>20 - 49</c:v>
                </c:pt>
                <c:pt idx="3">
                  <c:v>50 - 99</c:v>
                </c:pt>
                <c:pt idx="4">
                  <c:v>100 - 249</c:v>
                </c:pt>
                <c:pt idx="5">
                  <c:v>250 - 499</c:v>
                </c:pt>
                <c:pt idx="6">
                  <c:v>500 et +</c:v>
                </c:pt>
              </c:strCache>
            </c:strRef>
          </c:cat>
          <c:val>
            <c:numRef>
              <c:f>'Q23_Tab 61'!$B$9:$H$9</c:f>
              <c:numCache>
                <c:formatCode>0.0</c:formatCode>
                <c:ptCount val="7"/>
                <c:pt idx="0">
                  <c:v>29.9</c:v>
                </c:pt>
                <c:pt idx="1">
                  <c:v>24.7</c:v>
                </c:pt>
                <c:pt idx="2">
                  <c:v>25.2</c:v>
                </c:pt>
                <c:pt idx="3">
                  <c:v>26.400000000000002</c:v>
                </c:pt>
                <c:pt idx="4">
                  <c:v>25.4</c:v>
                </c:pt>
                <c:pt idx="5">
                  <c:v>29.299999999999997</c:v>
                </c:pt>
                <c:pt idx="6">
                  <c:v>35.9</c:v>
                </c:pt>
              </c:numCache>
            </c:numRef>
          </c:val>
          <c:extLst>
            <c:ext xmlns:c16="http://schemas.microsoft.com/office/drawing/2014/chart" uri="{C3380CC4-5D6E-409C-BE32-E72D297353CC}">
              <c16:uniqueId val="{00000003-CCA8-4B55-B14F-12677AE98A0D}"/>
            </c:ext>
          </c:extLst>
        </c:ser>
        <c:ser>
          <c:idx val="4"/>
          <c:order val="4"/>
          <c:tx>
            <c:strRef>
              <c:f>'Q23_Tab 61'!$A$10</c:f>
              <c:strCache>
                <c:ptCount val="1"/>
                <c:pt idx="0">
                  <c:v>Réticences ou refus des collaborateurs</c:v>
                </c:pt>
              </c:strCache>
            </c:strRef>
          </c:tx>
          <c:spPr>
            <a:solidFill>
              <a:schemeClr val="accent5"/>
            </a:solidFill>
            <a:ln>
              <a:noFill/>
            </a:ln>
            <a:effectLst/>
          </c:spPr>
          <c:invertIfNegative val="0"/>
          <c:cat>
            <c:strRef>
              <c:f>'Q23_Tab 61'!$B$5:$H$5</c:f>
              <c:strCache>
                <c:ptCount val="7"/>
                <c:pt idx="0">
                  <c:v>Ensemble</c:v>
                </c:pt>
                <c:pt idx="1">
                  <c:v>10 - 19</c:v>
                </c:pt>
                <c:pt idx="2">
                  <c:v>20 - 49</c:v>
                </c:pt>
                <c:pt idx="3">
                  <c:v>50 - 99</c:v>
                </c:pt>
                <c:pt idx="4">
                  <c:v>100 - 249</c:v>
                </c:pt>
                <c:pt idx="5">
                  <c:v>250 - 499</c:v>
                </c:pt>
                <c:pt idx="6">
                  <c:v>500 et +</c:v>
                </c:pt>
              </c:strCache>
            </c:strRef>
          </c:cat>
          <c:val>
            <c:numRef>
              <c:f>'Q23_Tab 61'!$B$10:$H$10</c:f>
              <c:numCache>
                <c:formatCode>0.0</c:formatCode>
                <c:ptCount val="7"/>
                <c:pt idx="0">
                  <c:v>9.3000000000000007</c:v>
                </c:pt>
                <c:pt idx="1">
                  <c:v>9.3000000000000007</c:v>
                </c:pt>
                <c:pt idx="2">
                  <c:v>5.7</c:v>
                </c:pt>
                <c:pt idx="3">
                  <c:v>7.5</c:v>
                </c:pt>
                <c:pt idx="4">
                  <c:v>10.100000000000001</c:v>
                </c:pt>
                <c:pt idx="5">
                  <c:v>10.299999999999999</c:v>
                </c:pt>
                <c:pt idx="6">
                  <c:v>11.899999999999999</c:v>
                </c:pt>
              </c:numCache>
            </c:numRef>
          </c:val>
          <c:extLst>
            <c:ext xmlns:c16="http://schemas.microsoft.com/office/drawing/2014/chart" uri="{C3380CC4-5D6E-409C-BE32-E72D297353CC}">
              <c16:uniqueId val="{00000004-CCA8-4B55-B14F-12677AE98A0D}"/>
            </c:ext>
          </c:extLst>
        </c:ser>
        <c:ser>
          <c:idx val="5"/>
          <c:order val="5"/>
          <c:tx>
            <c:strRef>
              <c:f>'Q23_Tab 61'!$A$11</c:f>
              <c:strCache>
                <c:ptCount val="1"/>
                <c:pt idx="0">
                  <c:v>Réticences ou refus des instances représentatives</c:v>
                </c:pt>
              </c:strCache>
            </c:strRef>
          </c:tx>
          <c:spPr>
            <a:solidFill>
              <a:schemeClr val="accent6"/>
            </a:solidFill>
            <a:ln>
              <a:noFill/>
            </a:ln>
            <a:effectLst/>
          </c:spPr>
          <c:invertIfNegative val="0"/>
          <c:cat>
            <c:strRef>
              <c:f>'Q23_Tab 61'!$B$5:$H$5</c:f>
              <c:strCache>
                <c:ptCount val="7"/>
                <c:pt idx="0">
                  <c:v>Ensemble</c:v>
                </c:pt>
                <c:pt idx="1">
                  <c:v>10 - 19</c:v>
                </c:pt>
                <c:pt idx="2">
                  <c:v>20 - 49</c:v>
                </c:pt>
                <c:pt idx="3">
                  <c:v>50 - 99</c:v>
                </c:pt>
                <c:pt idx="4">
                  <c:v>100 - 249</c:v>
                </c:pt>
                <c:pt idx="5">
                  <c:v>250 - 499</c:v>
                </c:pt>
                <c:pt idx="6">
                  <c:v>500 et +</c:v>
                </c:pt>
              </c:strCache>
            </c:strRef>
          </c:cat>
          <c:val>
            <c:numRef>
              <c:f>'Q23_Tab 61'!$B$11:$H$11</c:f>
              <c:numCache>
                <c:formatCode>0.0</c:formatCode>
                <c:ptCount val="7"/>
                <c:pt idx="0">
                  <c:v>4.7</c:v>
                </c:pt>
                <c:pt idx="1">
                  <c:v>4.7</c:v>
                </c:pt>
                <c:pt idx="2">
                  <c:v>0.8</c:v>
                </c:pt>
                <c:pt idx="3">
                  <c:v>2</c:v>
                </c:pt>
                <c:pt idx="4">
                  <c:v>3.1</c:v>
                </c:pt>
                <c:pt idx="5">
                  <c:v>2.6</c:v>
                </c:pt>
                <c:pt idx="6">
                  <c:v>9.1999999999999993</c:v>
                </c:pt>
              </c:numCache>
            </c:numRef>
          </c:val>
          <c:extLst>
            <c:ext xmlns:c16="http://schemas.microsoft.com/office/drawing/2014/chart" uri="{C3380CC4-5D6E-409C-BE32-E72D297353CC}">
              <c16:uniqueId val="{00000005-CCA8-4B55-B14F-12677AE98A0D}"/>
            </c:ext>
          </c:extLst>
        </c:ser>
        <c:ser>
          <c:idx val="6"/>
          <c:order val="6"/>
          <c:tx>
            <c:strRef>
              <c:f>'Q23_Tab 61'!$A$12</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'Q23_Tab 61'!$B$5:$H$5</c:f>
              <c:strCache>
                <c:ptCount val="7"/>
                <c:pt idx="0">
                  <c:v>Ensemble</c:v>
                </c:pt>
                <c:pt idx="1">
                  <c:v>10 - 19</c:v>
                </c:pt>
                <c:pt idx="2">
                  <c:v>20 - 49</c:v>
                </c:pt>
                <c:pt idx="3">
                  <c:v>50 - 99</c:v>
                </c:pt>
                <c:pt idx="4">
                  <c:v>100 - 249</c:v>
                </c:pt>
                <c:pt idx="5">
                  <c:v>250 - 499</c:v>
                </c:pt>
                <c:pt idx="6">
                  <c:v>500 et +</c:v>
                </c:pt>
              </c:strCache>
            </c:strRef>
          </c:cat>
          <c:val>
            <c:numRef>
              <c:f>'Q23_Tab 61'!$B$12:$H$12</c:f>
              <c:numCache>
                <c:formatCode>0.0</c:formatCode>
                <c:ptCount val="7"/>
                <c:pt idx="0">
                  <c:v>10.199999999999999</c:v>
                </c:pt>
                <c:pt idx="1">
                  <c:v>10.199999999999999</c:v>
                </c:pt>
                <c:pt idx="2">
                  <c:v>8.5</c:v>
                </c:pt>
                <c:pt idx="3">
                  <c:v>9.3000000000000007</c:v>
                </c:pt>
                <c:pt idx="4">
                  <c:v>9.3000000000000007</c:v>
                </c:pt>
                <c:pt idx="5">
                  <c:v>8.6999999999999993</c:v>
                </c:pt>
                <c:pt idx="6">
                  <c:v>11.4</c:v>
                </c:pt>
              </c:numCache>
            </c:numRef>
          </c:val>
          <c:extLst>
            <c:ext xmlns:c16="http://schemas.microsoft.com/office/drawing/2014/chart" uri="{C3380CC4-5D6E-409C-BE32-E72D297353CC}">
              <c16:uniqueId val="{00000006-CCA8-4B55-B14F-12677AE98A0D}"/>
            </c:ext>
          </c:extLst>
        </c:ser>
        <c:ser>
          <c:idx val="7"/>
          <c:order val="7"/>
          <c:tx>
            <c:strRef>
              <c:f>'Q23_Tab 61'!$A$13</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'Q23_Tab 61'!$B$5:$H$5</c:f>
              <c:strCache>
                <c:ptCount val="7"/>
                <c:pt idx="0">
                  <c:v>Ensemble</c:v>
                </c:pt>
                <c:pt idx="1">
                  <c:v>10 - 19</c:v>
                </c:pt>
                <c:pt idx="2">
                  <c:v>20 - 49</c:v>
                </c:pt>
                <c:pt idx="3">
                  <c:v>50 - 99</c:v>
                </c:pt>
                <c:pt idx="4">
                  <c:v>100 - 249</c:v>
                </c:pt>
                <c:pt idx="5">
                  <c:v>250 - 499</c:v>
                </c:pt>
                <c:pt idx="6">
                  <c:v>500 et +</c:v>
                </c:pt>
              </c:strCache>
            </c:strRef>
          </c:cat>
          <c:val>
            <c:numRef>
              <c:f>'Q23_Tab 61'!$B$13:$H$13</c:f>
              <c:numCache>
                <c:formatCode>0.0</c:formatCode>
                <c:ptCount val="7"/>
                <c:pt idx="0">
                  <c:v>21.3</c:v>
                </c:pt>
                <c:pt idx="1">
                  <c:v>21.3</c:v>
                </c:pt>
                <c:pt idx="2">
                  <c:v>12.6</c:v>
                </c:pt>
                <c:pt idx="3">
                  <c:v>15.9</c:v>
                </c:pt>
                <c:pt idx="4">
                  <c:v>18.5</c:v>
                </c:pt>
                <c:pt idx="5">
                  <c:v>23.799999999999997</c:v>
                </c:pt>
                <c:pt idx="6">
                  <c:v>30.5</c:v>
                </c:pt>
              </c:numCache>
            </c:numRef>
          </c:val>
          <c:extLst>
            <c:ext xmlns:c16="http://schemas.microsoft.com/office/drawing/2014/chart" uri="{C3380CC4-5D6E-409C-BE32-E72D297353CC}">
              <c16:uniqueId val="{00000007-CCA8-4B55-B14F-12677AE98A0D}"/>
            </c:ext>
          </c:extLst>
        </c:ser>
        <c:ser>
          <c:idx val="8"/>
          <c:order val="8"/>
          <c:tx>
            <c:strRef>
              <c:f>'Q23_Tab 61'!$A$14</c:f>
              <c:strCache>
                <c:ptCount val="1"/>
                <c:pt idx="0">
                  <c:v>Autre(s) difficulté(s)</c:v>
                </c:pt>
              </c:strCache>
            </c:strRef>
          </c:tx>
          <c:spPr>
            <a:solidFill>
              <a:schemeClr val="accent3">
                <a:lumMod val="60000"/>
              </a:schemeClr>
            </a:solidFill>
            <a:ln>
              <a:noFill/>
            </a:ln>
            <a:effectLst/>
          </c:spPr>
          <c:invertIfNegative val="0"/>
          <c:cat>
            <c:strRef>
              <c:f>'Q23_Tab 61'!$B$5:$H$5</c:f>
              <c:strCache>
                <c:ptCount val="7"/>
                <c:pt idx="0">
                  <c:v>Ensemble</c:v>
                </c:pt>
                <c:pt idx="1">
                  <c:v>10 - 19</c:v>
                </c:pt>
                <c:pt idx="2">
                  <c:v>20 - 49</c:v>
                </c:pt>
                <c:pt idx="3">
                  <c:v>50 - 99</c:v>
                </c:pt>
                <c:pt idx="4">
                  <c:v>100 - 249</c:v>
                </c:pt>
                <c:pt idx="5">
                  <c:v>250 - 499</c:v>
                </c:pt>
                <c:pt idx="6">
                  <c:v>500 et +</c:v>
                </c:pt>
              </c:strCache>
            </c:strRef>
          </c:cat>
          <c:val>
            <c:numRef>
              <c:f>'Q23_Tab 61'!$B$14:$H$14</c:f>
              <c:numCache>
                <c:formatCode>0.0</c:formatCode>
                <c:ptCount val="7"/>
                <c:pt idx="0">
                  <c:v>18.899999999999999</c:v>
                </c:pt>
                <c:pt idx="1">
                  <c:v>18.899999999999999</c:v>
                </c:pt>
                <c:pt idx="2">
                  <c:v>20.5</c:v>
                </c:pt>
                <c:pt idx="3">
                  <c:v>19.900000000000002</c:v>
                </c:pt>
                <c:pt idx="4">
                  <c:v>20.100000000000001</c:v>
                </c:pt>
                <c:pt idx="5">
                  <c:v>22.1</c:v>
                </c:pt>
                <c:pt idx="6">
                  <c:v>16.7</c:v>
                </c:pt>
              </c:numCache>
            </c:numRef>
          </c:val>
          <c:extLst>
            <c:ext xmlns:c16="http://schemas.microsoft.com/office/drawing/2014/chart" uri="{C3380CC4-5D6E-409C-BE32-E72D297353CC}">
              <c16:uniqueId val="{00000008-CCA8-4B55-B14F-12677AE98A0D}"/>
            </c:ext>
          </c:extLst>
        </c:ser>
        <c:dLbls>
          <c:showLegendKey val="0"/>
          <c:showVal val="0"/>
          <c:showCatName val="0"/>
          <c:showSerName val="0"/>
          <c:showPercent val="0"/>
          <c:showBubbleSize val="0"/>
        </c:dLbls>
        <c:gapWidth val="150"/>
        <c:overlap val="100"/>
        <c:axId val="688277200"/>
        <c:axId val="688278840"/>
      </c:barChart>
      <c:catAx>
        <c:axId val="68827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8840"/>
        <c:crosses val="autoZero"/>
        <c:auto val="1"/>
        <c:lblAlgn val="ctr"/>
        <c:lblOffset val="100"/>
        <c:noMultiLvlLbl val="0"/>
      </c:catAx>
      <c:valAx>
        <c:axId val="6882788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7200"/>
        <c:crosses val="autoZero"/>
        <c:crossBetween val="between"/>
        <c:majorUnit val="40"/>
      </c:valAx>
      <c:spPr>
        <a:noFill/>
        <a:ln>
          <a:noFill/>
        </a:ln>
        <a:effectLst/>
      </c:spPr>
    </c:plotArea>
    <c:legend>
      <c:legendPos val="b"/>
      <c:layout>
        <c:manualLayout>
          <c:xMode val="edge"/>
          <c:yMode val="edge"/>
          <c:x val="7.433306245573262E-3"/>
          <c:y val="0.58897541917976104"/>
          <c:w val="0.95417895651159723"/>
          <c:h val="0.3947974208228396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9420099604934226"/>
          <c:y val="9.607849457414315E-2"/>
          <c:w val="0.48475638910663654"/>
          <c:h val="0.70867584534389338"/>
        </c:manualLayout>
      </c:layout>
      <c:barChart>
        <c:barDir val="bar"/>
        <c:grouping val="stacked"/>
        <c:varyColors val="0"/>
        <c:ser>
          <c:idx val="0"/>
          <c:order val="0"/>
          <c:tx>
            <c:strRef>
              <c:f>'Q23_Tab 62'!$B$5</c:f>
              <c:strCache>
                <c:ptCount val="1"/>
                <c:pt idx="0">
                  <c:v>Aucune difficulté</c:v>
                </c:pt>
              </c:strCache>
            </c:strRef>
          </c:tx>
          <c:spPr>
            <a:solidFill>
              <a:schemeClr val="accent1"/>
            </a:solidFill>
            <a:ln>
              <a:noFill/>
            </a:ln>
            <a:effectLst/>
          </c:spPr>
          <c:invertIfNegative val="0"/>
          <c:cat>
            <c:strRef>
              <c:f>'Q23_Tab 62'!$A$6:$A$22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62'!$B$6:$B$22</c:f>
              <c:numCache>
                <c:formatCode>0.0</c:formatCode>
                <c:ptCount val="17"/>
                <c:pt idx="0">
                  <c:v>17.299999999999997</c:v>
                </c:pt>
                <c:pt idx="1">
                  <c:v>24.7</c:v>
                </c:pt>
                <c:pt idx="2">
                  <c:v>28.9</c:v>
                </c:pt>
                <c:pt idx="3" formatCode="0">
                  <c:v>0</c:v>
                </c:pt>
                <c:pt idx="4">
                  <c:v>15.2</c:v>
                </c:pt>
                <c:pt idx="5">
                  <c:v>4.2</c:v>
                </c:pt>
                <c:pt idx="6">
                  <c:v>16.5</c:v>
                </c:pt>
                <c:pt idx="7">
                  <c:v>21.099999999999998</c:v>
                </c:pt>
                <c:pt idx="8">
                  <c:v>21.8</c:v>
                </c:pt>
                <c:pt idx="9">
                  <c:v>14.899999999999999</c:v>
                </c:pt>
                <c:pt idx="10">
                  <c:v>5.6000000000000005</c:v>
                </c:pt>
                <c:pt idx="11">
                  <c:v>10.7</c:v>
                </c:pt>
                <c:pt idx="12">
                  <c:v>14.000000000000002</c:v>
                </c:pt>
                <c:pt idx="13">
                  <c:v>19</c:v>
                </c:pt>
                <c:pt idx="14">
                  <c:v>15.4</c:v>
                </c:pt>
                <c:pt idx="15">
                  <c:v>20.3</c:v>
                </c:pt>
                <c:pt idx="16">
                  <c:v>17.599999999999998</c:v>
                </c:pt>
              </c:numCache>
            </c:numRef>
          </c:val>
          <c:extLst>
            <c:ext xmlns:c16="http://schemas.microsoft.com/office/drawing/2014/chart" uri="{C3380CC4-5D6E-409C-BE32-E72D297353CC}">
              <c16:uniqueId val="{00000000-5ECC-44A4-9D1D-C97EEEC8E4B6}"/>
            </c:ext>
          </c:extLst>
        </c:ser>
        <c:ser>
          <c:idx val="1"/>
          <c:order val="1"/>
          <c:tx>
            <c:strRef>
              <c:f>'Q23_Tab 62'!$C$5</c:f>
              <c:strCache>
                <c:ptCount val="1"/>
                <c:pt idx="0">
                  <c:v>Manque de débouchés pour les activités</c:v>
                </c:pt>
              </c:strCache>
            </c:strRef>
          </c:tx>
          <c:spPr>
            <a:solidFill>
              <a:schemeClr val="accent2"/>
            </a:solidFill>
            <a:ln>
              <a:noFill/>
            </a:ln>
            <a:effectLst/>
          </c:spPr>
          <c:invertIfNegative val="0"/>
          <c:cat>
            <c:strRef>
              <c:f>'Q23_Tab 62'!$A$6:$A$22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62'!$C$6:$C$22</c:f>
              <c:numCache>
                <c:formatCode>0.0</c:formatCode>
                <c:ptCount val="17"/>
                <c:pt idx="0">
                  <c:v>36.199999999999996</c:v>
                </c:pt>
                <c:pt idx="1">
                  <c:v>47.199999999999996</c:v>
                </c:pt>
                <c:pt idx="2">
                  <c:v>33.700000000000003</c:v>
                </c:pt>
                <c:pt idx="3" formatCode="0">
                  <c:v>0</c:v>
                </c:pt>
                <c:pt idx="4">
                  <c:v>53.800000000000004</c:v>
                </c:pt>
                <c:pt idx="5">
                  <c:v>48.199999999999996</c:v>
                </c:pt>
                <c:pt idx="6">
                  <c:v>51.9</c:v>
                </c:pt>
                <c:pt idx="7">
                  <c:v>31.5</c:v>
                </c:pt>
                <c:pt idx="8">
                  <c:v>28.9</c:v>
                </c:pt>
                <c:pt idx="9">
                  <c:v>49.7</c:v>
                </c:pt>
                <c:pt idx="10">
                  <c:v>50.6</c:v>
                </c:pt>
                <c:pt idx="11">
                  <c:v>44.7</c:v>
                </c:pt>
                <c:pt idx="12">
                  <c:v>30.4</c:v>
                </c:pt>
                <c:pt idx="13">
                  <c:v>20.8</c:v>
                </c:pt>
                <c:pt idx="14">
                  <c:v>43.7</c:v>
                </c:pt>
                <c:pt idx="15">
                  <c:v>15.7</c:v>
                </c:pt>
                <c:pt idx="16">
                  <c:v>25.8</c:v>
                </c:pt>
              </c:numCache>
            </c:numRef>
          </c:val>
          <c:extLst>
            <c:ext xmlns:c16="http://schemas.microsoft.com/office/drawing/2014/chart" uri="{C3380CC4-5D6E-409C-BE32-E72D297353CC}">
              <c16:uniqueId val="{00000001-5ECC-44A4-9D1D-C97EEEC8E4B6}"/>
            </c:ext>
          </c:extLst>
        </c:ser>
        <c:ser>
          <c:idx val="2"/>
          <c:order val="2"/>
          <c:tx>
            <c:strRef>
              <c:f>'Q23_Tab 62'!$D$5</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'Q23_Tab 62'!$A$6:$A$22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62'!$D$6:$D$22</c:f>
              <c:numCache>
                <c:formatCode>0.0</c:formatCode>
                <c:ptCount val="17"/>
                <c:pt idx="0">
                  <c:v>10.299999999999999</c:v>
                </c:pt>
                <c:pt idx="1">
                  <c:v>7.3</c:v>
                </c:pt>
                <c:pt idx="2">
                  <c:v>7.7</c:v>
                </c:pt>
                <c:pt idx="3" formatCode="0">
                  <c:v>0</c:v>
                </c:pt>
                <c:pt idx="4">
                  <c:v>2.9000000000000004</c:v>
                </c:pt>
                <c:pt idx="5">
                  <c:v>1.4000000000000001</c:v>
                </c:pt>
                <c:pt idx="6">
                  <c:v>5.2</c:v>
                </c:pt>
                <c:pt idx="7">
                  <c:v>7.6</c:v>
                </c:pt>
                <c:pt idx="8">
                  <c:v>14.399999999999999</c:v>
                </c:pt>
                <c:pt idx="9">
                  <c:v>13.700000000000001</c:v>
                </c:pt>
                <c:pt idx="10">
                  <c:v>4.1000000000000005</c:v>
                </c:pt>
                <c:pt idx="11">
                  <c:v>3.3000000000000003</c:v>
                </c:pt>
                <c:pt idx="12">
                  <c:v>7.0000000000000009</c:v>
                </c:pt>
                <c:pt idx="13">
                  <c:v>13.3</c:v>
                </c:pt>
                <c:pt idx="14">
                  <c:v>8.6</c:v>
                </c:pt>
                <c:pt idx="15">
                  <c:v>19.400000000000002</c:v>
                </c:pt>
                <c:pt idx="16">
                  <c:v>6.9</c:v>
                </c:pt>
              </c:numCache>
            </c:numRef>
          </c:val>
          <c:extLst>
            <c:ext xmlns:c16="http://schemas.microsoft.com/office/drawing/2014/chart" uri="{C3380CC4-5D6E-409C-BE32-E72D297353CC}">
              <c16:uniqueId val="{00000002-5ECC-44A4-9D1D-C97EEEC8E4B6}"/>
            </c:ext>
          </c:extLst>
        </c:ser>
        <c:ser>
          <c:idx val="3"/>
          <c:order val="3"/>
          <c:tx>
            <c:strRef>
              <c:f>'Q23_Tab 62'!$E$5</c:f>
              <c:strCache>
                <c:ptCount val="1"/>
                <c:pt idx="0">
                  <c:v>Difficultés à organiser l'activité de manière à respecter la distanciation sociale</c:v>
                </c:pt>
              </c:strCache>
            </c:strRef>
          </c:tx>
          <c:spPr>
            <a:solidFill>
              <a:schemeClr val="accent4"/>
            </a:solidFill>
            <a:ln>
              <a:noFill/>
            </a:ln>
            <a:effectLst/>
          </c:spPr>
          <c:invertIfNegative val="0"/>
          <c:cat>
            <c:strRef>
              <c:f>'Q23_Tab 62'!$A$6:$A$22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62'!$E$6:$E$22</c:f>
              <c:numCache>
                <c:formatCode>0.0</c:formatCode>
                <c:ptCount val="17"/>
                <c:pt idx="0">
                  <c:v>29.9</c:v>
                </c:pt>
                <c:pt idx="1">
                  <c:v>40.300000000000004</c:v>
                </c:pt>
                <c:pt idx="2">
                  <c:v>19.600000000000001</c:v>
                </c:pt>
                <c:pt idx="3" formatCode="0">
                  <c:v>0</c:v>
                </c:pt>
                <c:pt idx="4">
                  <c:v>18.3</c:v>
                </c:pt>
                <c:pt idx="5">
                  <c:v>46</c:v>
                </c:pt>
                <c:pt idx="6">
                  <c:v>19.5</c:v>
                </c:pt>
                <c:pt idx="7">
                  <c:v>30.099999999999998</c:v>
                </c:pt>
                <c:pt idx="8">
                  <c:v>23.5</c:v>
                </c:pt>
                <c:pt idx="9">
                  <c:v>26.6</c:v>
                </c:pt>
                <c:pt idx="10">
                  <c:v>47</c:v>
                </c:pt>
                <c:pt idx="11">
                  <c:v>31.6</c:v>
                </c:pt>
                <c:pt idx="12">
                  <c:v>25.2</c:v>
                </c:pt>
                <c:pt idx="13">
                  <c:v>31.5</c:v>
                </c:pt>
                <c:pt idx="14">
                  <c:v>24.8</c:v>
                </c:pt>
                <c:pt idx="15">
                  <c:v>41.199999999999996</c:v>
                </c:pt>
                <c:pt idx="16">
                  <c:v>45.800000000000004</c:v>
                </c:pt>
              </c:numCache>
            </c:numRef>
          </c:val>
          <c:extLst>
            <c:ext xmlns:c16="http://schemas.microsoft.com/office/drawing/2014/chart" uri="{C3380CC4-5D6E-409C-BE32-E72D297353CC}">
              <c16:uniqueId val="{00000003-5ECC-44A4-9D1D-C97EEEC8E4B6}"/>
            </c:ext>
          </c:extLst>
        </c:ser>
        <c:ser>
          <c:idx val="4"/>
          <c:order val="4"/>
          <c:tx>
            <c:strRef>
              <c:f>'Q23_Tab 62'!$F$5</c:f>
              <c:strCache>
                <c:ptCount val="1"/>
                <c:pt idx="0">
                  <c:v>Réticences ou refus des collaborateurs</c:v>
                </c:pt>
              </c:strCache>
            </c:strRef>
          </c:tx>
          <c:spPr>
            <a:solidFill>
              <a:schemeClr val="accent5"/>
            </a:solidFill>
            <a:ln>
              <a:noFill/>
            </a:ln>
            <a:effectLst/>
          </c:spPr>
          <c:invertIfNegative val="0"/>
          <c:cat>
            <c:strRef>
              <c:f>'Q23_Tab 62'!$A$6:$A$22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62'!$F$6:$F$22</c:f>
              <c:numCache>
                <c:formatCode>0.0</c:formatCode>
                <c:ptCount val="17"/>
                <c:pt idx="0">
                  <c:v>9.3000000000000007</c:v>
                </c:pt>
                <c:pt idx="1">
                  <c:v>2.6</c:v>
                </c:pt>
                <c:pt idx="2">
                  <c:v>5.3</c:v>
                </c:pt>
                <c:pt idx="3" formatCode="0">
                  <c:v>0</c:v>
                </c:pt>
                <c:pt idx="4">
                  <c:v>5.8000000000000007</c:v>
                </c:pt>
                <c:pt idx="5">
                  <c:v>8.4</c:v>
                </c:pt>
                <c:pt idx="6">
                  <c:v>5.3</c:v>
                </c:pt>
                <c:pt idx="7">
                  <c:v>4</c:v>
                </c:pt>
                <c:pt idx="8">
                  <c:v>5</c:v>
                </c:pt>
                <c:pt idx="9">
                  <c:v>4.2</c:v>
                </c:pt>
                <c:pt idx="10">
                  <c:v>6.7</c:v>
                </c:pt>
                <c:pt idx="11">
                  <c:v>28.1</c:v>
                </c:pt>
                <c:pt idx="12">
                  <c:v>15.8</c:v>
                </c:pt>
                <c:pt idx="13">
                  <c:v>8</c:v>
                </c:pt>
                <c:pt idx="14">
                  <c:v>17.7</c:v>
                </c:pt>
                <c:pt idx="15">
                  <c:v>7.1999999999999993</c:v>
                </c:pt>
                <c:pt idx="16">
                  <c:v>9</c:v>
                </c:pt>
              </c:numCache>
            </c:numRef>
          </c:val>
          <c:extLst>
            <c:ext xmlns:c16="http://schemas.microsoft.com/office/drawing/2014/chart" uri="{C3380CC4-5D6E-409C-BE32-E72D297353CC}">
              <c16:uniqueId val="{00000004-5ECC-44A4-9D1D-C97EEEC8E4B6}"/>
            </c:ext>
          </c:extLst>
        </c:ser>
        <c:ser>
          <c:idx val="5"/>
          <c:order val="5"/>
          <c:tx>
            <c:strRef>
              <c:f>'Q23_Tab 62'!$G$5</c:f>
              <c:strCache>
                <c:ptCount val="1"/>
                <c:pt idx="0">
                  <c:v>Réticences ou refus des instances représentatives</c:v>
                </c:pt>
              </c:strCache>
            </c:strRef>
          </c:tx>
          <c:spPr>
            <a:solidFill>
              <a:schemeClr val="accent6"/>
            </a:solidFill>
            <a:ln>
              <a:noFill/>
            </a:ln>
            <a:effectLst/>
          </c:spPr>
          <c:invertIfNegative val="0"/>
          <c:cat>
            <c:strRef>
              <c:f>'Q23_Tab 62'!$A$6:$A$22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62'!$G$6:$G$22</c:f>
              <c:numCache>
                <c:formatCode>0.0</c:formatCode>
                <c:ptCount val="17"/>
                <c:pt idx="0">
                  <c:v>4.7</c:v>
                </c:pt>
                <c:pt idx="1">
                  <c:v>6</c:v>
                </c:pt>
                <c:pt idx="2">
                  <c:v>2.2999999999999998</c:v>
                </c:pt>
                <c:pt idx="3" formatCode="0">
                  <c:v>0</c:v>
                </c:pt>
                <c:pt idx="4">
                  <c:v>5.7</c:v>
                </c:pt>
                <c:pt idx="5">
                  <c:v>24</c:v>
                </c:pt>
                <c:pt idx="6">
                  <c:v>2.1999999999999997</c:v>
                </c:pt>
                <c:pt idx="7">
                  <c:v>0.89999999999999991</c:v>
                </c:pt>
                <c:pt idx="8">
                  <c:v>2.2999999999999998</c:v>
                </c:pt>
                <c:pt idx="9">
                  <c:v>1.7999999999999998</c:v>
                </c:pt>
                <c:pt idx="10">
                  <c:v>1</c:v>
                </c:pt>
                <c:pt idx="11">
                  <c:v>16.8</c:v>
                </c:pt>
                <c:pt idx="12">
                  <c:v>10.299999999999999</c:v>
                </c:pt>
                <c:pt idx="13">
                  <c:v>1.2</c:v>
                </c:pt>
                <c:pt idx="14">
                  <c:v>6.9</c:v>
                </c:pt>
                <c:pt idx="15">
                  <c:v>1.9</c:v>
                </c:pt>
                <c:pt idx="16">
                  <c:v>3.1</c:v>
                </c:pt>
              </c:numCache>
            </c:numRef>
          </c:val>
          <c:extLst>
            <c:ext xmlns:c16="http://schemas.microsoft.com/office/drawing/2014/chart" uri="{C3380CC4-5D6E-409C-BE32-E72D297353CC}">
              <c16:uniqueId val="{00000005-5ECC-44A4-9D1D-C97EEEC8E4B6}"/>
            </c:ext>
          </c:extLst>
        </c:ser>
        <c:ser>
          <c:idx val="6"/>
          <c:order val="6"/>
          <c:tx>
            <c:strRef>
              <c:f>'Q23_Tab 62'!$H$5</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'Q23_Tab 62'!$A$6:$A$22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62'!$H$6:$H$22</c:f>
              <c:numCache>
                <c:formatCode>0.0</c:formatCode>
                <c:ptCount val="17"/>
                <c:pt idx="0">
                  <c:v>10.199999999999999</c:v>
                </c:pt>
                <c:pt idx="1">
                  <c:v>2.5</c:v>
                </c:pt>
                <c:pt idx="2">
                  <c:v>7.3999999999999995</c:v>
                </c:pt>
                <c:pt idx="3" formatCode="0">
                  <c:v>0</c:v>
                </c:pt>
                <c:pt idx="4">
                  <c:v>24.8</c:v>
                </c:pt>
                <c:pt idx="5">
                  <c:v>30.9</c:v>
                </c:pt>
                <c:pt idx="6">
                  <c:v>15.5</c:v>
                </c:pt>
                <c:pt idx="7">
                  <c:v>17</c:v>
                </c:pt>
                <c:pt idx="8">
                  <c:v>21.2</c:v>
                </c:pt>
                <c:pt idx="9">
                  <c:v>3.5000000000000004</c:v>
                </c:pt>
                <c:pt idx="10">
                  <c:v>4.2</c:v>
                </c:pt>
                <c:pt idx="11">
                  <c:v>2.4</c:v>
                </c:pt>
                <c:pt idx="12">
                  <c:v>1.0999999999999999</c:v>
                </c:pt>
                <c:pt idx="13">
                  <c:v>4.8</c:v>
                </c:pt>
                <c:pt idx="14">
                  <c:v>6.8000000000000007</c:v>
                </c:pt>
                <c:pt idx="15">
                  <c:v>5.3</c:v>
                </c:pt>
                <c:pt idx="16">
                  <c:v>3.1</c:v>
                </c:pt>
              </c:numCache>
            </c:numRef>
          </c:val>
          <c:extLst>
            <c:ext xmlns:c16="http://schemas.microsoft.com/office/drawing/2014/chart" uri="{C3380CC4-5D6E-409C-BE32-E72D297353CC}">
              <c16:uniqueId val="{00000006-5ECC-44A4-9D1D-C97EEEC8E4B6}"/>
            </c:ext>
          </c:extLst>
        </c:ser>
        <c:ser>
          <c:idx val="7"/>
          <c:order val="7"/>
          <c:tx>
            <c:strRef>
              <c:f>'Q23_Tab 62'!$I$5</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'Q23_Tab 62'!$A$6:$A$22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62'!$I$6:$I$22</c:f>
              <c:numCache>
                <c:formatCode>0.0</c:formatCode>
                <c:ptCount val="17"/>
                <c:pt idx="0">
                  <c:v>21.3</c:v>
                </c:pt>
                <c:pt idx="1">
                  <c:v>12.5</c:v>
                </c:pt>
                <c:pt idx="2">
                  <c:v>14.7</c:v>
                </c:pt>
                <c:pt idx="3" formatCode="0">
                  <c:v>0</c:v>
                </c:pt>
                <c:pt idx="4">
                  <c:v>14.2</c:v>
                </c:pt>
                <c:pt idx="5">
                  <c:v>30.7</c:v>
                </c:pt>
                <c:pt idx="6">
                  <c:v>15.6</c:v>
                </c:pt>
                <c:pt idx="7">
                  <c:v>14.2</c:v>
                </c:pt>
                <c:pt idx="8">
                  <c:v>29.5</c:v>
                </c:pt>
                <c:pt idx="9">
                  <c:v>9.8000000000000007</c:v>
                </c:pt>
                <c:pt idx="10">
                  <c:v>21.5</c:v>
                </c:pt>
                <c:pt idx="11">
                  <c:v>33.6</c:v>
                </c:pt>
                <c:pt idx="12">
                  <c:v>36.700000000000003</c:v>
                </c:pt>
                <c:pt idx="13">
                  <c:v>37.299999999999997</c:v>
                </c:pt>
                <c:pt idx="14">
                  <c:v>19.600000000000001</c:v>
                </c:pt>
                <c:pt idx="15">
                  <c:v>19.100000000000001</c:v>
                </c:pt>
                <c:pt idx="16">
                  <c:v>14.299999999999999</c:v>
                </c:pt>
              </c:numCache>
            </c:numRef>
          </c:val>
          <c:extLst>
            <c:ext xmlns:c16="http://schemas.microsoft.com/office/drawing/2014/chart" uri="{C3380CC4-5D6E-409C-BE32-E72D297353CC}">
              <c16:uniqueId val="{00000007-5ECC-44A4-9D1D-C97EEEC8E4B6}"/>
            </c:ext>
          </c:extLst>
        </c:ser>
        <c:ser>
          <c:idx val="8"/>
          <c:order val="8"/>
          <c:tx>
            <c:strRef>
              <c:f>'Q23_Tab 62'!$J$5</c:f>
              <c:strCache>
                <c:ptCount val="1"/>
                <c:pt idx="0">
                  <c:v>Autre(s) difficulté(s)</c:v>
                </c:pt>
              </c:strCache>
            </c:strRef>
          </c:tx>
          <c:spPr>
            <a:solidFill>
              <a:schemeClr val="accent3">
                <a:lumMod val="60000"/>
              </a:schemeClr>
            </a:solidFill>
            <a:ln>
              <a:noFill/>
            </a:ln>
            <a:effectLst/>
          </c:spPr>
          <c:invertIfNegative val="0"/>
          <c:cat>
            <c:strRef>
              <c:f>'Q23_Tab 62'!$A$6:$A$22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62'!$J$6:$J$22</c:f>
              <c:numCache>
                <c:formatCode>0.0</c:formatCode>
                <c:ptCount val="17"/>
                <c:pt idx="0">
                  <c:v>18.899999999999999</c:v>
                </c:pt>
                <c:pt idx="1">
                  <c:v>13.900000000000002</c:v>
                </c:pt>
                <c:pt idx="2">
                  <c:v>15.2</c:v>
                </c:pt>
                <c:pt idx="3">
                  <c:v>0</c:v>
                </c:pt>
                <c:pt idx="4">
                  <c:v>14.799999999999999</c:v>
                </c:pt>
                <c:pt idx="5">
                  <c:v>10.100000000000001</c:v>
                </c:pt>
                <c:pt idx="6">
                  <c:v>13.600000000000001</c:v>
                </c:pt>
                <c:pt idx="7">
                  <c:v>19.600000000000001</c:v>
                </c:pt>
                <c:pt idx="8">
                  <c:v>16.600000000000001</c:v>
                </c:pt>
                <c:pt idx="9">
                  <c:v>23</c:v>
                </c:pt>
                <c:pt idx="10">
                  <c:v>29.9</c:v>
                </c:pt>
                <c:pt idx="11">
                  <c:v>17.399999999999999</c:v>
                </c:pt>
                <c:pt idx="12">
                  <c:v>17.899999999999999</c:v>
                </c:pt>
                <c:pt idx="13">
                  <c:v>17.399999999999999</c:v>
                </c:pt>
                <c:pt idx="14">
                  <c:v>20.200000000000003</c:v>
                </c:pt>
                <c:pt idx="15">
                  <c:v>20.5</c:v>
                </c:pt>
                <c:pt idx="16">
                  <c:v>25.8</c:v>
                </c:pt>
              </c:numCache>
            </c:numRef>
          </c:val>
          <c:extLst>
            <c:ext xmlns:c16="http://schemas.microsoft.com/office/drawing/2014/chart" uri="{C3380CC4-5D6E-409C-BE32-E72D297353CC}">
              <c16:uniqueId val="{00000008-5ECC-44A4-9D1D-C97EEEC8E4B6}"/>
            </c:ext>
          </c:extLst>
        </c:ser>
        <c:dLbls>
          <c:showLegendKey val="0"/>
          <c:showVal val="0"/>
          <c:showCatName val="0"/>
          <c:showSerName val="0"/>
          <c:showPercent val="0"/>
          <c:showBubbleSize val="0"/>
        </c:dLbls>
        <c:gapWidth val="150"/>
        <c:overlap val="100"/>
        <c:axId val="691961008"/>
        <c:axId val="691966584"/>
      </c:barChart>
      <c:catAx>
        <c:axId val="691961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66584"/>
        <c:crosses val="autoZero"/>
        <c:auto val="1"/>
        <c:lblAlgn val="ctr"/>
        <c:lblOffset val="100"/>
        <c:noMultiLvlLbl val="0"/>
      </c:catAx>
      <c:valAx>
        <c:axId val="691966584"/>
        <c:scaling>
          <c:orientation val="minMax"/>
          <c:max val="260"/>
          <c:min val="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61008"/>
        <c:crosses val="autoZero"/>
        <c:crossBetween val="between"/>
      </c:valAx>
      <c:spPr>
        <a:noFill/>
        <a:ln>
          <a:noFill/>
        </a:ln>
        <a:effectLst/>
      </c:spPr>
    </c:plotArea>
    <c:legend>
      <c:legendPos val="b"/>
      <c:layout>
        <c:manualLayout>
          <c:xMode val="edge"/>
          <c:yMode val="edge"/>
          <c:x val="1.0189888968188034E-2"/>
          <c:y val="0.82675323479301932"/>
          <c:w val="0.97466727506015682"/>
          <c:h val="0.1615508587742321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9420099604934226"/>
          <c:y val="9.607849457414315E-2"/>
          <c:w val="0.48475638910663654"/>
          <c:h val="0.70867584534389338"/>
        </c:manualLayout>
      </c:layout>
      <c:barChart>
        <c:barDir val="bar"/>
        <c:grouping val="stacked"/>
        <c:varyColors val="0"/>
        <c:ser>
          <c:idx val="0"/>
          <c:order val="0"/>
          <c:tx>
            <c:strRef>
              <c:f>'Q23_Tab 62'!$B$5</c:f>
              <c:strCache>
                <c:ptCount val="1"/>
                <c:pt idx="0">
                  <c:v>Aucune difficulté</c:v>
                </c:pt>
              </c:strCache>
            </c:strRef>
          </c:tx>
          <c:spPr>
            <a:solidFill>
              <a:schemeClr val="accent1"/>
            </a:solidFill>
            <a:ln>
              <a:noFill/>
            </a:ln>
            <a:effectLst/>
          </c:spPr>
          <c:invertIfNegative val="0"/>
          <c:cat>
            <c:strRef>
              <c:f>'Q23_Tab 62'!$A$6:$A$22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62'!$B$6:$B$22</c:f>
              <c:numCache>
                <c:formatCode>0.0</c:formatCode>
                <c:ptCount val="17"/>
                <c:pt idx="0">
                  <c:v>17.299999999999997</c:v>
                </c:pt>
                <c:pt idx="1">
                  <c:v>24.7</c:v>
                </c:pt>
                <c:pt idx="2">
                  <c:v>28.9</c:v>
                </c:pt>
                <c:pt idx="3" formatCode="0">
                  <c:v>0</c:v>
                </c:pt>
                <c:pt idx="4">
                  <c:v>15.2</c:v>
                </c:pt>
                <c:pt idx="5">
                  <c:v>4.2</c:v>
                </c:pt>
                <c:pt idx="6">
                  <c:v>16.5</c:v>
                </c:pt>
                <c:pt idx="7">
                  <c:v>21.099999999999998</c:v>
                </c:pt>
                <c:pt idx="8">
                  <c:v>21.8</c:v>
                </c:pt>
                <c:pt idx="9">
                  <c:v>14.899999999999999</c:v>
                </c:pt>
                <c:pt idx="10">
                  <c:v>5.6000000000000005</c:v>
                </c:pt>
                <c:pt idx="11">
                  <c:v>10.7</c:v>
                </c:pt>
                <c:pt idx="12">
                  <c:v>14.000000000000002</c:v>
                </c:pt>
                <c:pt idx="13">
                  <c:v>19</c:v>
                </c:pt>
                <c:pt idx="14">
                  <c:v>15.4</c:v>
                </c:pt>
                <c:pt idx="15">
                  <c:v>20.3</c:v>
                </c:pt>
                <c:pt idx="16">
                  <c:v>17.599999999999998</c:v>
                </c:pt>
              </c:numCache>
            </c:numRef>
          </c:val>
          <c:extLst>
            <c:ext xmlns:c16="http://schemas.microsoft.com/office/drawing/2014/chart" uri="{C3380CC4-5D6E-409C-BE32-E72D297353CC}">
              <c16:uniqueId val="{00000000-54A6-4170-AC9C-BE19700FB376}"/>
            </c:ext>
          </c:extLst>
        </c:ser>
        <c:ser>
          <c:idx val="1"/>
          <c:order val="1"/>
          <c:tx>
            <c:strRef>
              <c:f>'Q23_Tab 62'!$C$5</c:f>
              <c:strCache>
                <c:ptCount val="1"/>
                <c:pt idx="0">
                  <c:v>Manque de débouchés pour les activités</c:v>
                </c:pt>
              </c:strCache>
            </c:strRef>
          </c:tx>
          <c:spPr>
            <a:solidFill>
              <a:schemeClr val="accent2"/>
            </a:solidFill>
            <a:ln>
              <a:noFill/>
            </a:ln>
            <a:effectLst/>
          </c:spPr>
          <c:invertIfNegative val="0"/>
          <c:cat>
            <c:strRef>
              <c:f>'Q23_Tab 62'!$A$6:$A$22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62'!$C$6:$C$22</c:f>
              <c:numCache>
                <c:formatCode>0.0</c:formatCode>
                <c:ptCount val="17"/>
                <c:pt idx="0">
                  <c:v>36.199999999999996</c:v>
                </c:pt>
                <c:pt idx="1">
                  <c:v>47.199999999999996</c:v>
                </c:pt>
                <c:pt idx="2">
                  <c:v>33.700000000000003</c:v>
                </c:pt>
                <c:pt idx="3" formatCode="0">
                  <c:v>0</c:v>
                </c:pt>
                <c:pt idx="4">
                  <c:v>53.800000000000004</c:v>
                </c:pt>
                <c:pt idx="5">
                  <c:v>48.199999999999996</c:v>
                </c:pt>
                <c:pt idx="6">
                  <c:v>51.9</c:v>
                </c:pt>
                <c:pt idx="7">
                  <c:v>31.5</c:v>
                </c:pt>
                <c:pt idx="8">
                  <c:v>28.9</c:v>
                </c:pt>
                <c:pt idx="9">
                  <c:v>49.7</c:v>
                </c:pt>
                <c:pt idx="10">
                  <c:v>50.6</c:v>
                </c:pt>
                <c:pt idx="11">
                  <c:v>44.7</c:v>
                </c:pt>
                <c:pt idx="12">
                  <c:v>30.4</c:v>
                </c:pt>
                <c:pt idx="13">
                  <c:v>20.8</c:v>
                </c:pt>
                <c:pt idx="14">
                  <c:v>43.7</c:v>
                </c:pt>
                <c:pt idx="15">
                  <c:v>15.7</c:v>
                </c:pt>
                <c:pt idx="16">
                  <c:v>25.8</c:v>
                </c:pt>
              </c:numCache>
            </c:numRef>
          </c:val>
          <c:extLst>
            <c:ext xmlns:c16="http://schemas.microsoft.com/office/drawing/2014/chart" uri="{C3380CC4-5D6E-409C-BE32-E72D297353CC}">
              <c16:uniqueId val="{00000001-54A6-4170-AC9C-BE19700FB376}"/>
            </c:ext>
          </c:extLst>
        </c:ser>
        <c:ser>
          <c:idx val="2"/>
          <c:order val="2"/>
          <c:tx>
            <c:strRef>
              <c:f>'Q23_Tab 62'!$D$5</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'Q23_Tab 62'!$A$6:$A$22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62'!$D$6:$D$22</c:f>
              <c:numCache>
                <c:formatCode>0.0</c:formatCode>
                <c:ptCount val="17"/>
                <c:pt idx="0">
                  <c:v>10.299999999999999</c:v>
                </c:pt>
                <c:pt idx="1">
                  <c:v>7.3</c:v>
                </c:pt>
                <c:pt idx="2">
                  <c:v>7.7</c:v>
                </c:pt>
                <c:pt idx="3" formatCode="0">
                  <c:v>0</c:v>
                </c:pt>
                <c:pt idx="4">
                  <c:v>2.9000000000000004</c:v>
                </c:pt>
                <c:pt idx="5">
                  <c:v>1.4000000000000001</c:v>
                </c:pt>
                <c:pt idx="6">
                  <c:v>5.2</c:v>
                </c:pt>
                <c:pt idx="7">
                  <c:v>7.6</c:v>
                </c:pt>
                <c:pt idx="8">
                  <c:v>14.399999999999999</c:v>
                </c:pt>
                <c:pt idx="9">
                  <c:v>13.700000000000001</c:v>
                </c:pt>
                <c:pt idx="10">
                  <c:v>4.1000000000000005</c:v>
                </c:pt>
                <c:pt idx="11">
                  <c:v>3.3000000000000003</c:v>
                </c:pt>
                <c:pt idx="12">
                  <c:v>7.0000000000000009</c:v>
                </c:pt>
                <c:pt idx="13">
                  <c:v>13.3</c:v>
                </c:pt>
                <c:pt idx="14">
                  <c:v>8.6</c:v>
                </c:pt>
                <c:pt idx="15">
                  <c:v>19.400000000000002</c:v>
                </c:pt>
                <c:pt idx="16">
                  <c:v>6.9</c:v>
                </c:pt>
              </c:numCache>
            </c:numRef>
          </c:val>
          <c:extLst>
            <c:ext xmlns:c16="http://schemas.microsoft.com/office/drawing/2014/chart" uri="{C3380CC4-5D6E-409C-BE32-E72D297353CC}">
              <c16:uniqueId val="{00000002-54A6-4170-AC9C-BE19700FB376}"/>
            </c:ext>
          </c:extLst>
        </c:ser>
        <c:ser>
          <c:idx val="3"/>
          <c:order val="3"/>
          <c:tx>
            <c:strRef>
              <c:f>'Q23_Tab 62'!$E$5</c:f>
              <c:strCache>
                <c:ptCount val="1"/>
                <c:pt idx="0">
                  <c:v>Difficultés à organiser l'activité de manière à respecter la distanciation sociale</c:v>
                </c:pt>
              </c:strCache>
            </c:strRef>
          </c:tx>
          <c:spPr>
            <a:solidFill>
              <a:schemeClr val="accent4"/>
            </a:solidFill>
            <a:ln>
              <a:noFill/>
            </a:ln>
            <a:effectLst/>
          </c:spPr>
          <c:invertIfNegative val="0"/>
          <c:cat>
            <c:strRef>
              <c:f>'Q23_Tab 62'!$A$6:$A$22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62'!$E$6:$E$22</c:f>
              <c:numCache>
                <c:formatCode>0.0</c:formatCode>
                <c:ptCount val="17"/>
                <c:pt idx="0">
                  <c:v>29.9</c:v>
                </c:pt>
                <c:pt idx="1">
                  <c:v>40.300000000000004</c:v>
                </c:pt>
                <c:pt idx="2">
                  <c:v>19.600000000000001</c:v>
                </c:pt>
                <c:pt idx="3" formatCode="0">
                  <c:v>0</c:v>
                </c:pt>
                <c:pt idx="4">
                  <c:v>18.3</c:v>
                </c:pt>
                <c:pt idx="5">
                  <c:v>46</c:v>
                </c:pt>
                <c:pt idx="6">
                  <c:v>19.5</c:v>
                </c:pt>
                <c:pt idx="7">
                  <c:v>30.099999999999998</c:v>
                </c:pt>
                <c:pt idx="8">
                  <c:v>23.5</c:v>
                </c:pt>
                <c:pt idx="9">
                  <c:v>26.6</c:v>
                </c:pt>
                <c:pt idx="10">
                  <c:v>47</c:v>
                </c:pt>
                <c:pt idx="11">
                  <c:v>31.6</c:v>
                </c:pt>
                <c:pt idx="12">
                  <c:v>25.2</c:v>
                </c:pt>
                <c:pt idx="13">
                  <c:v>31.5</c:v>
                </c:pt>
                <c:pt idx="14">
                  <c:v>24.8</c:v>
                </c:pt>
                <c:pt idx="15">
                  <c:v>41.199999999999996</c:v>
                </c:pt>
                <c:pt idx="16">
                  <c:v>45.800000000000004</c:v>
                </c:pt>
              </c:numCache>
            </c:numRef>
          </c:val>
          <c:extLst>
            <c:ext xmlns:c16="http://schemas.microsoft.com/office/drawing/2014/chart" uri="{C3380CC4-5D6E-409C-BE32-E72D297353CC}">
              <c16:uniqueId val="{00000003-54A6-4170-AC9C-BE19700FB376}"/>
            </c:ext>
          </c:extLst>
        </c:ser>
        <c:ser>
          <c:idx val="4"/>
          <c:order val="4"/>
          <c:tx>
            <c:strRef>
              <c:f>'Q23_Tab 62'!$F$5</c:f>
              <c:strCache>
                <c:ptCount val="1"/>
                <c:pt idx="0">
                  <c:v>Réticences ou refus des collaborateurs</c:v>
                </c:pt>
              </c:strCache>
            </c:strRef>
          </c:tx>
          <c:spPr>
            <a:solidFill>
              <a:schemeClr val="accent5"/>
            </a:solidFill>
            <a:ln>
              <a:noFill/>
            </a:ln>
            <a:effectLst/>
          </c:spPr>
          <c:invertIfNegative val="0"/>
          <c:cat>
            <c:strRef>
              <c:f>'Q23_Tab 62'!$A$6:$A$22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62'!$F$6:$F$22</c:f>
              <c:numCache>
                <c:formatCode>0.0</c:formatCode>
                <c:ptCount val="17"/>
                <c:pt idx="0">
                  <c:v>9.3000000000000007</c:v>
                </c:pt>
                <c:pt idx="1">
                  <c:v>2.6</c:v>
                </c:pt>
                <c:pt idx="2">
                  <c:v>5.3</c:v>
                </c:pt>
                <c:pt idx="3" formatCode="0">
                  <c:v>0</c:v>
                </c:pt>
                <c:pt idx="4">
                  <c:v>5.8000000000000007</c:v>
                </c:pt>
                <c:pt idx="5">
                  <c:v>8.4</c:v>
                </c:pt>
                <c:pt idx="6">
                  <c:v>5.3</c:v>
                </c:pt>
                <c:pt idx="7">
                  <c:v>4</c:v>
                </c:pt>
                <c:pt idx="8">
                  <c:v>5</c:v>
                </c:pt>
                <c:pt idx="9">
                  <c:v>4.2</c:v>
                </c:pt>
                <c:pt idx="10">
                  <c:v>6.7</c:v>
                </c:pt>
                <c:pt idx="11">
                  <c:v>28.1</c:v>
                </c:pt>
                <c:pt idx="12">
                  <c:v>15.8</c:v>
                </c:pt>
                <c:pt idx="13">
                  <c:v>8</c:v>
                </c:pt>
                <c:pt idx="14">
                  <c:v>17.7</c:v>
                </c:pt>
                <c:pt idx="15">
                  <c:v>7.1999999999999993</c:v>
                </c:pt>
                <c:pt idx="16">
                  <c:v>9</c:v>
                </c:pt>
              </c:numCache>
            </c:numRef>
          </c:val>
          <c:extLst>
            <c:ext xmlns:c16="http://schemas.microsoft.com/office/drawing/2014/chart" uri="{C3380CC4-5D6E-409C-BE32-E72D297353CC}">
              <c16:uniqueId val="{00000004-54A6-4170-AC9C-BE19700FB376}"/>
            </c:ext>
          </c:extLst>
        </c:ser>
        <c:ser>
          <c:idx val="5"/>
          <c:order val="5"/>
          <c:tx>
            <c:strRef>
              <c:f>'Q23_Tab 62'!$G$5</c:f>
              <c:strCache>
                <c:ptCount val="1"/>
                <c:pt idx="0">
                  <c:v>Réticences ou refus des instances représentatives</c:v>
                </c:pt>
              </c:strCache>
            </c:strRef>
          </c:tx>
          <c:spPr>
            <a:solidFill>
              <a:schemeClr val="accent6"/>
            </a:solidFill>
            <a:ln>
              <a:noFill/>
            </a:ln>
            <a:effectLst/>
          </c:spPr>
          <c:invertIfNegative val="0"/>
          <c:cat>
            <c:strRef>
              <c:f>'Q23_Tab 62'!$A$6:$A$22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62'!$G$6:$G$22</c:f>
              <c:numCache>
                <c:formatCode>0.0</c:formatCode>
                <c:ptCount val="17"/>
                <c:pt idx="0">
                  <c:v>4.7</c:v>
                </c:pt>
                <c:pt idx="1">
                  <c:v>6</c:v>
                </c:pt>
                <c:pt idx="2">
                  <c:v>2.2999999999999998</c:v>
                </c:pt>
                <c:pt idx="3" formatCode="0">
                  <c:v>0</c:v>
                </c:pt>
                <c:pt idx="4">
                  <c:v>5.7</c:v>
                </c:pt>
                <c:pt idx="5">
                  <c:v>24</c:v>
                </c:pt>
                <c:pt idx="6">
                  <c:v>2.1999999999999997</c:v>
                </c:pt>
                <c:pt idx="7">
                  <c:v>0.89999999999999991</c:v>
                </c:pt>
                <c:pt idx="8">
                  <c:v>2.2999999999999998</c:v>
                </c:pt>
                <c:pt idx="9">
                  <c:v>1.7999999999999998</c:v>
                </c:pt>
                <c:pt idx="10">
                  <c:v>1</c:v>
                </c:pt>
                <c:pt idx="11">
                  <c:v>16.8</c:v>
                </c:pt>
                <c:pt idx="12">
                  <c:v>10.299999999999999</c:v>
                </c:pt>
                <c:pt idx="13">
                  <c:v>1.2</c:v>
                </c:pt>
                <c:pt idx="14">
                  <c:v>6.9</c:v>
                </c:pt>
                <c:pt idx="15">
                  <c:v>1.9</c:v>
                </c:pt>
                <c:pt idx="16">
                  <c:v>3.1</c:v>
                </c:pt>
              </c:numCache>
            </c:numRef>
          </c:val>
          <c:extLst>
            <c:ext xmlns:c16="http://schemas.microsoft.com/office/drawing/2014/chart" uri="{C3380CC4-5D6E-409C-BE32-E72D297353CC}">
              <c16:uniqueId val="{00000005-54A6-4170-AC9C-BE19700FB376}"/>
            </c:ext>
          </c:extLst>
        </c:ser>
        <c:ser>
          <c:idx val="6"/>
          <c:order val="6"/>
          <c:tx>
            <c:strRef>
              <c:f>'Q23_Tab 62'!$H$5</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'Q23_Tab 62'!$A$6:$A$22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62'!$H$6:$H$22</c:f>
              <c:numCache>
                <c:formatCode>0.0</c:formatCode>
                <c:ptCount val="17"/>
                <c:pt idx="0">
                  <c:v>10.199999999999999</c:v>
                </c:pt>
                <c:pt idx="1">
                  <c:v>2.5</c:v>
                </c:pt>
                <c:pt idx="2">
                  <c:v>7.3999999999999995</c:v>
                </c:pt>
                <c:pt idx="3" formatCode="0">
                  <c:v>0</c:v>
                </c:pt>
                <c:pt idx="4">
                  <c:v>24.8</c:v>
                </c:pt>
                <c:pt idx="5">
                  <c:v>30.9</c:v>
                </c:pt>
                <c:pt idx="6">
                  <c:v>15.5</c:v>
                </c:pt>
                <c:pt idx="7">
                  <c:v>17</c:v>
                </c:pt>
                <c:pt idx="8">
                  <c:v>21.2</c:v>
                </c:pt>
                <c:pt idx="9">
                  <c:v>3.5000000000000004</c:v>
                </c:pt>
                <c:pt idx="10">
                  <c:v>4.2</c:v>
                </c:pt>
                <c:pt idx="11">
                  <c:v>2.4</c:v>
                </c:pt>
                <c:pt idx="12">
                  <c:v>1.0999999999999999</c:v>
                </c:pt>
                <c:pt idx="13">
                  <c:v>4.8</c:v>
                </c:pt>
                <c:pt idx="14">
                  <c:v>6.8000000000000007</c:v>
                </c:pt>
                <c:pt idx="15">
                  <c:v>5.3</c:v>
                </c:pt>
                <c:pt idx="16">
                  <c:v>3.1</c:v>
                </c:pt>
              </c:numCache>
            </c:numRef>
          </c:val>
          <c:extLst>
            <c:ext xmlns:c16="http://schemas.microsoft.com/office/drawing/2014/chart" uri="{C3380CC4-5D6E-409C-BE32-E72D297353CC}">
              <c16:uniqueId val="{00000006-54A6-4170-AC9C-BE19700FB376}"/>
            </c:ext>
          </c:extLst>
        </c:ser>
        <c:ser>
          <c:idx val="7"/>
          <c:order val="7"/>
          <c:tx>
            <c:strRef>
              <c:f>'Q23_Tab 62'!$I$5</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'Q23_Tab 62'!$A$6:$A$22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62'!$I$6:$I$22</c:f>
              <c:numCache>
                <c:formatCode>0.0</c:formatCode>
                <c:ptCount val="17"/>
                <c:pt idx="0">
                  <c:v>21.3</c:v>
                </c:pt>
                <c:pt idx="1">
                  <c:v>12.5</c:v>
                </c:pt>
                <c:pt idx="2">
                  <c:v>14.7</c:v>
                </c:pt>
                <c:pt idx="3" formatCode="0">
                  <c:v>0</c:v>
                </c:pt>
                <c:pt idx="4">
                  <c:v>14.2</c:v>
                </c:pt>
                <c:pt idx="5">
                  <c:v>30.7</c:v>
                </c:pt>
                <c:pt idx="6">
                  <c:v>15.6</c:v>
                </c:pt>
                <c:pt idx="7">
                  <c:v>14.2</c:v>
                </c:pt>
                <c:pt idx="8">
                  <c:v>29.5</c:v>
                </c:pt>
                <c:pt idx="9">
                  <c:v>9.8000000000000007</c:v>
                </c:pt>
                <c:pt idx="10">
                  <c:v>21.5</c:v>
                </c:pt>
                <c:pt idx="11">
                  <c:v>33.6</c:v>
                </c:pt>
                <c:pt idx="12">
                  <c:v>36.700000000000003</c:v>
                </c:pt>
                <c:pt idx="13">
                  <c:v>37.299999999999997</c:v>
                </c:pt>
                <c:pt idx="14">
                  <c:v>19.600000000000001</c:v>
                </c:pt>
                <c:pt idx="15">
                  <c:v>19.100000000000001</c:v>
                </c:pt>
                <c:pt idx="16">
                  <c:v>14.299999999999999</c:v>
                </c:pt>
              </c:numCache>
            </c:numRef>
          </c:val>
          <c:extLst>
            <c:ext xmlns:c16="http://schemas.microsoft.com/office/drawing/2014/chart" uri="{C3380CC4-5D6E-409C-BE32-E72D297353CC}">
              <c16:uniqueId val="{00000007-54A6-4170-AC9C-BE19700FB376}"/>
            </c:ext>
          </c:extLst>
        </c:ser>
        <c:ser>
          <c:idx val="8"/>
          <c:order val="8"/>
          <c:tx>
            <c:strRef>
              <c:f>'Q23_Tab 62'!$J$5</c:f>
              <c:strCache>
                <c:ptCount val="1"/>
                <c:pt idx="0">
                  <c:v>Autre(s) difficulté(s)</c:v>
                </c:pt>
              </c:strCache>
            </c:strRef>
          </c:tx>
          <c:spPr>
            <a:solidFill>
              <a:schemeClr val="accent3">
                <a:lumMod val="60000"/>
              </a:schemeClr>
            </a:solidFill>
            <a:ln>
              <a:noFill/>
            </a:ln>
            <a:effectLst/>
          </c:spPr>
          <c:invertIfNegative val="0"/>
          <c:cat>
            <c:strRef>
              <c:f>'Q23_Tab 62'!$A$6:$A$22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62'!$J$6:$J$22</c:f>
              <c:numCache>
                <c:formatCode>0.0</c:formatCode>
                <c:ptCount val="17"/>
                <c:pt idx="0">
                  <c:v>18.899999999999999</c:v>
                </c:pt>
                <c:pt idx="1">
                  <c:v>13.900000000000002</c:v>
                </c:pt>
                <c:pt idx="2">
                  <c:v>15.2</c:v>
                </c:pt>
                <c:pt idx="3">
                  <c:v>0</c:v>
                </c:pt>
                <c:pt idx="4">
                  <c:v>14.799999999999999</c:v>
                </c:pt>
                <c:pt idx="5">
                  <c:v>10.100000000000001</c:v>
                </c:pt>
                <c:pt idx="6">
                  <c:v>13.600000000000001</c:v>
                </c:pt>
                <c:pt idx="7">
                  <c:v>19.600000000000001</c:v>
                </c:pt>
                <c:pt idx="8">
                  <c:v>16.600000000000001</c:v>
                </c:pt>
                <c:pt idx="9">
                  <c:v>23</c:v>
                </c:pt>
                <c:pt idx="10">
                  <c:v>29.9</c:v>
                </c:pt>
                <c:pt idx="11">
                  <c:v>17.399999999999999</c:v>
                </c:pt>
                <c:pt idx="12">
                  <c:v>17.899999999999999</c:v>
                </c:pt>
                <c:pt idx="13">
                  <c:v>17.399999999999999</c:v>
                </c:pt>
                <c:pt idx="14">
                  <c:v>20.200000000000003</c:v>
                </c:pt>
                <c:pt idx="15">
                  <c:v>20.5</c:v>
                </c:pt>
                <c:pt idx="16">
                  <c:v>25.8</c:v>
                </c:pt>
              </c:numCache>
            </c:numRef>
          </c:val>
          <c:extLst>
            <c:ext xmlns:c16="http://schemas.microsoft.com/office/drawing/2014/chart" uri="{C3380CC4-5D6E-409C-BE32-E72D297353CC}">
              <c16:uniqueId val="{00000008-54A6-4170-AC9C-BE19700FB376}"/>
            </c:ext>
          </c:extLst>
        </c:ser>
        <c:dLbls>
          <c:showLegendKey val="0"/>
          <c:showVal val="0"/>
          <c:showCatName val="0"/>
          <c:showSerName val="0"/>
          <c:showPercent val="0"/>
          <c:showBubbleSize val="0"/>
        </c:dLbls>
        <c:gapWidth val="150"/>
        <c:overlap val="100"/>
        <c:axId val="691961008"/>
        <c:axId val="691966584"/>
      </c:barChart>
      <c:catAx>
        <c:axId val="691961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66584"/>
        <c:crosses val="autoZero"/>
        <c:auto val="1"/>
        <c:lblAlgn val="ctr"/>
        <c:lblOffset val="100"/>
        <c:noMultiLvlLbl val="0"/>
      </c:catAx>
      <c:valAx>
        <c:axId val="691966584"/>
        <c:scaling>
          <c:orientation val="minMax"/>
          <c:max val="210"/>
          <c:min val="0"/>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61008"/>
        <c:crosses val="autoZero"/>
        <c:crossBetween val="between"/>
      </c:valAx>
      <c:spPr>
        <a:noFill/>
        <a:ln>
          <a:noFill/>
        </a:ln>
        <a:effectLst/>
      </c:spPr>
    </c:plotArea>
    <c:legend>
      <c:legendPos val="b"/>
      <c:layout>
        <c:manualLayout>
          <c:xMode val="edge"/>
          <c:yMode val="edge"/>
          <c:x val="1.0189888968188034E-2"/>
          <c:y val="0.82675323479301932"/>
          <c:w val="0.97466727506015682"/>
          <c:h val="0.1615508587742321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CF8-4A5E-9398-9036022556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CF8-4A5E-9398-9036022556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F8-4A5E-9398-903602255637}"/>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'Q5_Tab 8'!$A$4:$A$6</c:f>
              <c:strCache>
                <c:ptCount val="3"/>
                <c:pt idx="0">
                  <c:v>Vos effectifs ont diminué</c:v>
                </c:pt>
                <c:pt idx="1">
                  <c:v>Vos effectifs sont restés constants</c:v>
                </c:pt>
                <c:pt idx="2">
                  <c:v>Vos effectifs ont augmenté</c:v>
                </c:pt>
              </c:strCache>
            </c:strRef>
          </c:cat>
          <c:val>
            <c:numRef>
              <c:f>'Q5_Tab 8'!$B$4:$B$6</c:f>
              <c:numCache>
                <c:formatCode>0.0</c:formatCode>
                <c:ptCount val="3"/>
                <c:pt idx="0">
                  <c:v>13.5</c:v>
                </c:pt>
                <c:pt idx="1">
                  <c:v>78.900000000000006</c:v>
                </c:pt>
                <c:pt idx="2">
                  <c:v>7.7</c:v>
                </c:pt>
              </c:numCache>
            </c:numRef>
          </c:val>
          <c:extLst>
            <c:ext xmlns:c16="http://schemas.microsoft.com/office/drawing/2014/chart" uri="{C3380CC4-5D6E-409C-BE32-E72D297353CC}">
              <c16:uniqueId val="{00000006-BCF8-4A5E-9398-903602255637}"/>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'Q5_Tab 9'!$A$5</c:f>
              <c:strCache>
                <c:ptCount val="1"/>
                <c:pt idx="0">
                  <c:v>Vos effectifs ont diminué</c:v>
                </c:pt>
              </c:strCache>
            </c:strRef>
          </c:tx>
          <c:spPr>
            <a:solidFill>
              <a:schemeClr val="accent1"/>
            </a:solidFill>
            <a:ln>
              <a:noFill/>
            </a:ln>
            <a:effectLst/>
          </c:spPr>
          <c:invertIfNegative val="0"/>
          <c:cat>
            <c:strRef>
              <c:f>'Q5_Tab 9'!$B$4:$H$4</c:f>
              <c:strCache>
                <c:ptCount val="7"/>
                <c:pt idx="0">
                  <c:v>Total</c:v>
                </c:pt>
                <c:pt idx="1">
                  <c:v>10 - 19</c:v>
                </c:pt>
                <c:pt idx="2">
                  <c:v>20 - 49</c:v>
                </c:pt>
                <c:pt idx="3">
                  <c:v>50 - 99</c:v>
                </c:pt>
                <c:pt idx="4">
                  <c:v>100 - 249</c:v>
                </c:pt>
                <c:pt idx="5">
                  <c:v>250 - 499</c:v>
                </c:pt>
                <c:pt idx="6">
                  <c:v>500 et +</c:v>
                </c:pt>
              </c:strCache>
            </c:strRef>
          </c:cat>
          <c:val>
            <c:numRef>
              <c:f>'Q5_Tab 9'!$B$5:$H$5</c:f>
              <c:numCache>
                <c:formatCode>0.0</c:formatCode>
                <c:ptCount val="7"/>
                <c:pt idx="0">
                  <c:v>13.5</c:v>
                </c:pt>
                <c:pt idx="1">
                  <c:v>10.6</c:v>
                </c:pt>
                <c:pt idx="2">
                  <c:v>13.3</c:v>
                </c:pt>
                <c:pt idx="3">
                  <c:v>13.5</c:v>
                </c:pt>
                <c:pt idx="4">
                  <c:v>13.600000000000001</c:v>
                </c:pt>
                <c:pt idx="5">
                  <c:v>14.099999999999998</c:v>
                </c:pt>
                <c:pt idx="6">
                  <c:v>14.099999999999998</c:v>
                </c:pt>
              </c:numCache>
            </c:numRef>
          </c:val>
          <c:extLst>
            <c:ext xmlns:c16="http://schemas.microsoft.com/office/drawing/2014/chart" uri="{C3380CC4-5D6E-409C-BE32-E72D297353CC}">
              <c16:uniqueId val="{00000000-7C85-413C-B789-9A5E919F6FB1}"/>
            </c:ext>
          </c:extLst>
        </c:ser>
        <c:ser>
          <c:idx val="1"/>
          <c:order val="1"/>
          <c:tx>
            <c:strRef>
              <c:f>'Q5_Tab 9'!$A$6</c:f>
              <c:strCache>
                <c:ptCount val="1"/>
                <c:pt idx="0">
                  <c:v>Vos effectifs sont restés constants</c:v>
                </c:pt>
              </c:strCache>
            </c:strRef>
          </c:tx>
          <c:spPr>
            <a:solidFill>
              <a:schemeClr val="accent2"/>
            </a:solidFill>
            <a:ln>
              <a:noFill/>
            </a:ln>
            <a:effectLst/>
          </c:spPr>
          <c:invertIfNegative val="0"/>
          <c:cat>
            <c:strRef>
              <c:f>'Q5_Tab 9'!$B$4:$H$4</c:f>
              <c:strCache>
                <c:ptCount val="7"/>
                <c:pt idx="0">
                  <c:v>Total</c:v>
                </c:pt>
                <c:pt idx="1">
                  <c:v>10 - 19</c:v>
                </c:pt>
                <c:pt idx="2">
                  <c:v>20 - 49</c:v>
                </c:pt>
                <c:pt idx="3">
                  <c:v>50 - 99</c:v>
                </c:pt>
                <c:pt idx="4">
                  <c:v>100 - 249</c:v>
                </c:pt>
                <c:pt idx="5">
                  <c:v>250 - 499</c:v>
                </c:pt>
                <c:pt idx="6">
                  <c:v>500 et +</c:v>
                </c:pt>
              </c:strCache>
            </c:strRef>
          </c:cat>
          <c:val>
            <c:numRef>
              <c:f>'Q5_Tab 9'!$B$6:$H$6</c:f>
              <c:numCache>
                <c:formatCode>0.0</c:formatCode>
                <c:ptCount val="7"/>
                <c:pt idx="0">
                  <c:v>78.900000000000006</c:v>
                </c:pt>
                <c:pt idx="1">
                  <c:v>85.6</c:v>
                </c:pt>
                <c:pt idx="2">
                  <c:v>80.800000000000011</c:v>
                </c:pt>
                <c:pt idx="3">
                  <c:v>79.400000000000006</c:v>
                </c:pt>
                <c:pt idx="4">
                  <c:v>78.600000000000009</c:v>
                </c:pt>
                <c:pt idx="5">
                  <c:v>78.5</c:v>
                </c:pt>
                <c:pt idx="6">
                  <c:v>76.2</c:v>
                </c:pt>
              </c:numCache>
            </c:numRef>
          </c:val>
          <c:extLst>
            <c:ext xmlns:c16="http://schemas.microsoft.com/office/drawing/2014/chart" uri="{C3380CC4-5D6E-409C-BE32-E72D297353CC}">
              <c16:uniqueId val="{00000001-7C85-413C-B789-9A5E919F6FB1}"/>
            </c:ext>
          </c:extLst>
        </c:ser>
        <c:ser>
          <c:idx val="2"/>
          <c:order val="2"/>
          <c:tx>
            <c:strRef>
              <c:f>'Q5_Tab 9'!$A$7</c:f>
              <c:strCache>
                <c:ptCount val="1"/>
                <c:pt idx="0">
                  <c:v>Vos effectifs ont augmenté</c:v>
                </c:pt>
              </c:strCache>
            </c:strRef>
          </c:tx>
          <c:spPr>
            <a:solidFill>
              <a:schemeClr val="accent3"/>
            </a:solidFill>
            <a:ln>
              <a:noFill/>
            </a:ln>
            <a:effectLst/>
          </c:spPr>
          <c:invertIfNegative val="0"/>
          <c:cat>
            <c:strRef>
              <c:f>'Q5_Tab 9'!$B$4:$H$4</c:f>
              <c:strCache>
                <c:ptCount val="7"/>
                <c:pt idx="0">
                  <c:v>Total</c:v>
                </c:pt>
                <c:pt idx="1">
                  <c:v>10 - 19</c:v>
                </c:pt>
                <c:pt idx="2">
                  <c:v>20 - 49</c:v>
                </c:pt>
                <c:pt idx="3">
                  <c:v>50 - 99</c:v>
                </c:pt>
                <c:pt idx="4">
                  <c:v>100 - 249</c:v>
                </c:pt>
                <c:pt idx="5">
                  <c:v>250 - 499</c:v>
                </c:pt>
                <c:pt idx="6">
                  <c:v>500 et +</c:v>
                </c:pt>
              </c:strCache>
            </c:strRef>
          </c:cat>
          <c:val>
            <c:numRef>
              <c:f>'Q5_Tab 9'!$B$7:$H$7</c:f>
              <c:numCache>
                <c:formatCode>0.0</c:formatCode>
                <c:ptCount val="7"/>
                <c:pt idx="0">
                  <c:v>7.7</c:v>
                </c:pt>
                <c:pt idx="1">
                  <c:v>3.9</c:v>
                </c:pt>
                <c:pt idx="2">
                  <c:v>5.8000000000000007</c:v>
                </c:pt>
                <c:pt idx="3">
                  <c:v>7.1</c:v>
                </c:pt>
                <c:pt idx="4">
                  <c:v>7.7</c:v>
                </c:pt>
                <c:pt idx="5">
                  <c:v>7.5</c:v>
                </c:pt>
                <c:pt idx="6">
                  <c:v>9.7000000000000011</c:v>
                </c:pt>
              </c:numCache>
            </c:numRef>
          </c:val>
          <c:extLst>
            <c:ext xmlns:c16="http://schemas.microsoft.com/office/drawing/2014/chart" uri="{C3380CC4-5D6E-409C-BE32-E72D297353CC}">
              <c16:uniqueId val="{00000002-7C85-413C-B789-9A5E919F6FB1}"/>
            </c:ext>
          </c:extLst>
        </c:ser>
        <c:dLbls>
          <c:showLegendKey val="0"/>
          <c:showVal val="0"/>
          <c:showCatName val="0"/>
          <c:showSerName val="0"/>
          <c:showPercent val="0"/>
          <c:showBubbleSize val="0"/>
        </c:dLbls>
        <c:gapWidth val="150"/>
        <c:overlap val="100"/>
        <c:axId val="663038272"/>
        <c:axId val="663038928"/>
      </c:barChart>
      <c:catAx>
        <c:axId val="66303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928"/>
        <c:crosses val="autoZero"/>
        <c:auto val="1"/>
        <c:lblAlgn val="ctr"/>
        <c:lblOffset val="100"/>
        <c:noMultiLvlLbl val="0"/>
      </c:catAx>
      <c:valAx>
        <c:axId val="66303892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par secteurs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'Q5_Tab 10'!$B$4</c:f>
              <c:strCache>
                <c:ptCount val="1"/>
                <c:pt idx="0">
                  <c:v>Vos effectifs ont diminué</c:v>
                </c:pt>
              </c:strCache>
            </c:strRef>
          </c:tx>
          <c:spPr>
            <a:solidFill>
              <a:schemeClr val="accent1"/>
            </a:solidFill>
            <a:ln>
              <a:noFill/>
            </a:ln>
            <a:effectLst/>
          </c:spPr>
          <c:invertIfNegative val="0"/>
          <c:cat>
            <c:strRef>
              <c:f>'Q5_Tab 10'!$A$5:$A$21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'Q5_Tab 10'!$B$5:$B$21</c:f>
              <c:numCache>
                <c:formatCode>0.0</c:formatCode>
                <c:ptCount val="17"/>
                <c:pt idx="0">
                  <c:v>13.5</c:v>
                </c:pt>
                <c:pt idx="1">
                  <c:v>4.8</c:v>
                </c:pt>
                <c:pt idx="2">
                  <c:v>9.1</c:v>
                </c:pt>
                <c:pt idx="3">
                  <c:v>0</c:v>
                </c:pt>
                <c:pt idx="4">
                  <c:v>16.100000000000001</c:v>
                </c:pt>
                <c:pt idx="5">
                  <c:v>11.1</c:v>
                </c:pt>
                <c:pt idx="6">
                  <c:v>14.2</c:v>
                </c:pt>
                <c:pt idx="7">
                  <c:v>9.8000000000000007</c:v>
                </c:pt>
                <c:pt idx="8">
                  <c:v>11.3</c:v>
                </c:pt>
                <c:pt idx="9">
                  <c:v>19</c:v>
                </c:pt>
                <c:pt idx="10">
                  <c:v>28.1</c:v>
                </c:pt>
                <c:pt idx="11">
                  <c:v>13.4</c:v>
                </c:pt>
                <c:pt idx="12">
                  <c:v>5.2</c:v>
                </c:pt>
                <c:pt idx="13">
                  <c:v>6.1</c:v>
                </c:pt>
                <c:pt idx="14">
                  <c:v>19</c:v>
                </c:pt>
                <c:pt idx="15">
                  <c:v>9.1999999999999993</c:v>
                </c:pt>
                <c:pt idx="16">
                  <c:v>16.3</c:v>
                </c:pt>
              </c:numCache>
            </c:numRef>
          </c:val>
          <c:extLst>
            <c:ext xmlns:c16="http://schemas.microsoft.com/office/drawing/2014/chart" uri="{C3380CC4-5D6E-409C-BE32-E72D297353CC}">
              <c16:uniqueId val="{00000000-CAAF-4A09-8CD6-5737A875F285}"/>
            </c:ext>
          </c:extLst>
        </c:ser>
        <c:ser>
          <c:idx val="1"/>
          <c:order val="1"/>
          <c:tx>
            <c:strRef>
              <c:f>'Q5_Tab 10'!$C$4</c:f>
              <c:strCache>
                <c:ptCount val="1"/>
                <c:pt idx="0">
                  <c:v>Vos effectifs sont restés constants</c:v>
                </c:pt>
              </c:strCache>
            </c:strRef>
          </c:tx>
          <c:spPr>
            <a:solidFill>
              <a:schemeClr val="accent2"/>
            </a:solidFill>
            <a:ln>
              <a:noFill/>
            </a:ln>
            <a:effectLst/>
          </c:spPr>
          <c:invertIfNegative val="0"/>
          <c:cat>
            <c:strRef>
              <c:f>'Q5_Tab 10'!$A$5:$A$21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'Q5_Tab 10'!$C$5:$C$21</c:f>
              <c:numCache>
                <c:formatCode>0.0</c:formatCode>
                <c:ptCount val="17"/>
                <c:pt idx="0">
                  <c:v>78.900000000000006</c:v>
                </c:pt>
                <c:pt idx="1">
                  <c:v>93.600000000000009</c:v>
                </c:pt>
                <c:pt idx="2">
                  <c:v>84.2</c:v>
                </c:pt>
                <c:pt idx="3">
                  <c:v>100</c:v>
                </c:pt>
                <c:pt idx="4">
                  <c:v>81.699999999999989</c:v>
                </c:pt>
                <c:pt idx="5">
                  <c:v>88.1</c:v>
                </c:pt>
                <c:pt idx="6">
                  <c:v>80.600000000000009</c:v>
                </c:pt>
                <c:pt idx="7">
                  <c:v>84.399999999999991</c:v>
                </c:pt>
                <c:pt idx="8">
                  <c:v>72</c:v>
                </c:pt>
                <c:pt idx="9">
                  <c:v>76.2</c:v>
                </c:pt>
                <c:pt idx="10">
                  <c:v>68.2</c:v>
                </c:pt>
                <c:pt idx="11">
                  <c:v>81.399999999999991</c:v>
                </c:pt>
                <c:pt idx="12">
                  <c:v>90.2</c:v>
                </c:pt>
                <c:pt idx="13">
                  <c:v>85.3</c:v>
                </c:pt>
                <c:pt idx="14">
                  <c:v>72.899999999999991</c:v>
                </c:pt>
                <c:pt idx="15">
                  <c:v>82.399999999999991</c:v>
                </c:pt>
                <c:pt idx="16">
                  <c:v>80.800000000000011</c:v>
                </c:pt>
              </c:numCache>
            </c:numRef>
          </c:val>
          <c:extLst>
            <c:ext xmlns:c16="http://schemas.microsoft.com/office/drawing/2014/chart" uri="{C3380CC4-5D6E-409C-BE32-E72D297353CC}">
              <c16:uniqueId val="{00000001-CAAF-4A09-8CD6-5737A875F285}"/>
            </c:ext>
          </c:extLst>
        </c:ser>
        <c:ser>
          <c:idx val="2"/>
          <c:order val="2"/>
          <c:tx>
            <c:strRef>
              <c:f>'Q5_Tab 10'!$D$4</c:f>
              <c:strCache>
                <c:ptCount val="1"/>
                <c:pt idx="0">
                  <c:v>Vos effectifs ont augmenté</c:v>
                </c:pt>
              </c:strCache>
            </c:strRef>
          </c:tx>
          <c:spPr>
            <a:solidFill>
              <a:schemeClr val="accent3"/>
            </a:solidFill>
            <a:ln>
              <a:noFill/>
            </a:ln>
            <a:effectLst/>
          </c:spPr>
          <c:invertIfNegative val="0"/>
          <c:cat>
            <c:strRef>
              <c:f>'Q5_Tab 10'!$A$5:$A$21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'Q5_Tab 10'!$D$5:$D$21</c:f>
              <c:numCache>
                <c:formatCode>0.0</c:formatCode>
                <c:ptCount val="17"/>
                <c:pt idx="0">
                  <c:v>7.7</c:v>
                </c:pt>
                <c:pt idx="1">
                  <c:v>1.6</c:v>
                </c:pt>
                <c:pt idx="2">
                  <c:v>6.7</c:v>
                </c:pt>
                <c:pt idx="3">
                  <c:v>0</c:v>
                </c:pt>
                <c:pt idx="4">
                  <c:v>2.1999999999999997</c:v>
                </c:pt>
                <c:pt idx="5">
                  <c:v>0.89999999999999991</c:v>
                </c:pt>
                <c:pt idx="6">
                  <c:v>5.3</c:v>
                </c:pt>
                <c:pt idx="7">
                  <c:v>5.8000000000000007</c:v>
                </c:pt>
                <c:pt idx="8">
                  <c:v>16.8</c:v>
                </c:pt>
                <c:pt idx="9">
                  <c:v>4.8</c:v>
                </c:pt>
                <c:pt idx="10">
                  <c:v>3.8</c:v>
                </c:pt>
                <c:pt idx="11">
                  <c:v>5.2</c:v>
                </c:pt>
                <c:pt idx="12">
                  <c:v>4.5</c:v>
                </c:pt>
                <c:pt idx="13">
                  <c:v>8.6</c:v>
                </c:pt>
                <c:pt idx="14">
                  <c:v>8.1</c:v>
                </c:pt>
                <c:pt idx="15">
                  <c:v>8.4</c:v>
                </c:pt>
                <c:pt idx="16">
                  <c:v>2.8000000000000003</c:v>
                </c:pt>
              </c:numCache>
            </c:numRef>
          </c:val>
          <c:extLst>
            <c:ext xmlns:c16="http://schemas.microsoft.com/office/drawing/2014/chart" uri="{C3380CC4-5D6E-409C-BE32-E72D297353CC}">
              <c16:uniqueId val="{00000002-CAAF-4A09-8CD6-5737A875F285}"/>
            </c:ext>
          </c:extLst>
        </c:ser>
        <c:dLbls>
          <c:showLegendKey val="0"/>
          <c:showVal val="0"/>
          <c:showCatName val="0"/>
          <c:showSerName val="0"/>
          <c:showPercent val="0"/>
          <c:showBubbleSize val="0"/>
        </c:dLbls>
        <c:gapWidth val="150"/>
        <c:overlap val="100"/>
        <c:axId val="731204624"/>
        <c:axId val="731211840"/>
      </c:barChart>
      <c:catAx>
        <c:axId val="731204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1211840"/>
        <c:crosses val="autoZero"/>
        <c:auto val="1"/>
        <c:lblAlgn val="ctr"/>
        <c:lblOffset val="100"/>
        <c:noMultiLvlLbl val="0"/>
      </c:catAx>
      <c:valAx>
        <c:axId val="73121184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1204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withinLinear" id="19">
  <a:schemeClr val="accent6"/>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withinLinear" id="19">
  <a:schemeClr val="accent6"/>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withinLinear" id="19">
  <a:schemeClr val="accent6"/>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5" Type="http://schemas.openxmlformats.org/officeDocument/2006/relationships/chart" Target="../charts/chart32.xml"/><Relationship Id="rId4" Type="http://schemas.openxmlformats.org/officeDocument/2006/relationships/chart" Target="../charts/chart3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chart" Target="../charts/chart54.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chart" Target="../charts/chart58.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chart" Target="../charts/chart62.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chart" Target="../charts/chart66.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chart" Target="../charts/chart6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19050</xdr:colOff>
      <xdr:row>13</xdr:row>
      <xdr:rowOff>38100</xdr:rowOff>
    </xdr:from>
    <xdr:to>
      <xdr:col>7</xdr:col>
      <xdr:colOff>742950</xdr:colOff>
      <xdr:row>30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76199</xdr:colOff>
      <xdr:row>12</xdr:row>
      <xdr:rowOff>0</xdr:rowOff>
    </xdr:from>
    <xdr:to>
      <xdr:col>7</xdr:col>
      <xdr:colOff>380999</xdr:colOff>
      <xdr:row>26</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104775</xdr:colOff>
      <xdr:row>8</xdr:row>
      <xdr:rowOff>85724</xdr:rowOff>
    </xdr:from>
    <xdr:to>
      <xdr:col>5</xdr:col>
      <xdr:colOff>371475</xdr:colOff>
      <xdr:row>26</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57149</xdr:colOff>
      <xdr:row>23</xdr:row>
      <xdr:rowOff>190499</xdr:rowOff>
    </xdr:from>
    <xdr:to>
      <xdr:col>6</xdr:col>
      <xdr:colOff>123825</xdr:colOff>
      <xdr:row>47</xdr:row>
      <xdr:rowOff>104774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xdr:row>
      <xdr:rowOff>190499</xdr:rowOff>
    </xdr:from>
    <xdr:to>
      <xdr:col>10</xdr:col>
      <xdr:colOff>666750</xdr:colOff>
      <xdr:row>30</xdr:row>
      <xdr:rowOff>180974</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24</xdr:row>
      <xdr:rowOff>0</xdr:rowOff>
    </xdr:from>
    <xdr:to>
      <xdr:col>6</xdr:col>
      <xdr:colOff>9526</xdr:colOff>
      <xdr:row>47</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13</xdr:row>
      <xdr:rowOff>0</xdr:rowOff>
    </xdr:from>
    <xdr:to>
      <xdr:col>2</xdr:col>
      <xdr:colOff>723900</xdr:colOff>
      <xdr:row>32</xdr:row>
      <xdr:rowOff>123825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266700</xdr:colOff>
      <xdr:row>13</xdr:row>
      <xdr:rowOff>133350</xdr:rowOff>
    </xdr:from>
    <xdr:to>
      <xdr:col>6</xdr:col>
      <xdr:colOff>638175</xdr:colOff>
      <xdr:row>37</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200024</xdr:colOff>
      <xdr:row>25</xdr:row>
      <xdr:rowOff>47624</xdr:rowOff>
    </xdr:from>
    <xdr:to>
      <xdr:col>7</xdr:col>
      <xdr:colOff>152400</xdr:colOff>
      <xdr:row>51</xdr:row>
      <xdr:rowOff>190499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14</xdr:row>
      <xdr:rowOff>0</xdr:rowOff>
    </xdr:from>
    <xdr:to>
      <xdr:col>2</xdr:col>
      <xdr:colOff>752475</xdr:colOff>
      <xdr:row>33</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13</xdr:row>
      <xdr:rowOff>0</xdr:rowOff>
    </xdr:from>
    <xdr:to>
      <xdr:col>5</xdr:col>
      <xdr:colOff>171449</xdr:colOff>
      <xdr:row>39</xdr:row>
      <xdr:rowOff>14289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333374</xdr:colOff>
      <xdr:row>23</xdr:row>
      <xdr:rowOff>180974</xdr:rowOff>
    </xdr:from>
    <xdr:to>
      <xdr:col>6</xdr:col>
      <xdr:colOff>361950</xdr:colOff>
      <xdr:row>45</xdr:row>
      <xdr:rowOff>95249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152399</xdr:colOff>
      <xdr:row>25</xdr:row>
      <xdr:rowOff>85725</xdr:rowOff>
    </xdr:from>
    <xdr:to>
      <xdr:col>7</xdr:col>
      <xdr:colOff>76199</xdr:colOff>
      <xdr:row>55</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38099</xdr:colOff>
      <xdr:row>12</xdr:row>
      <xdr:rowOff>152400</xdr:rowOff>
    </xdr:from>
    <xdr:to>
      <xdr:col>7</xdr:col>
      <xdr:colOff>9525</xdr:colOff>
      <xdr:row>36</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133349</xdr:colOff>
      <xdr:row>12</xdr:row>
      <xdr:rowOff>133349</xdr:rowOff>
    </xdr:from>
    <xdr:to>
      <xdr:col>7</xdr:col>
      <xdr:colOff>1095374</xdr:colOff>
      <xdr:row>36</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48</xdr:row>
      <xdr:rowOff>171450</xdr:rowOff>
    </xdr:from>
    <xdr:to>
      <xdr:col>7</xdr:col>
      <xdr:colOff>1076325</xdr:colOff>
      <xdr:row>73</xdr:row>
      <xdr:rowOff>28575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85</xdr:row>
      <xdr:rowOff>180975</xdr:rowOff>
    </xdr:from>
    <xdr:to>
      <xdr:col>7</xdr:col>
      <xdr:colOff>1076325</xdr:colOff>
      <xdr:row>110</xdr:row>
      <xdr:rowOff>38100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123</xdr:row>
      <xdr:rowOff>0</xdr:rowOff>
    </xdr:from>
    <xdr:to>
      <xdr:col>7</xdr:col>
      <xdr:colOff>1085850</xdr:colOff>
      <xdr:row>147</xdr:row>
      <xdr:rowOff>47625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159</xdr:row>
      <xdr:rowOff>171450</xdr:rowOff>
    </xdr:from>
    <xdr:to>
      <xdr:col>7</xdr:col>
      <xdr:colOff>1085850</xdr:colOff>
      <xdr:row>184</xdr:row>
      <xdr:rowOff>28575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123825</xdr:colOff>
      <xdr:row>197</xdr:row>
      <xdr:rowOff>9525</xdr:rowOff>
    </xdr:from>
    <xdr:to>
      <xdr:col>7</xdr:col>
      <xdr:colOff>1085850</xdr:colOff>
      <xdr:row>221</xdr:row>
      <xdr:rowOff>57150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19049</xdr:colOff>
      <xdr:row>23</xdr:row>
      <xdr:rowOff>47625</xdr:rowOff>
    </xdr:from>
    <xdr:to>
      <xdr:col>6</xdr:col>
      <xdr:colOff>1066799</xdr:colOff>
      <xdr:row>53</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75</xdr:row>
      <xdr:rowOff>66675</xdr:rowOff>
    </xdr:from>
    <xdr:to>
      <xdr:col>7</xdr:col>
      <xdr:colOff>57150</xdr:colOff>
      <xdr:row>105</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127</xdr:row>
      <xdr:rowOff>57150</xdr:rowOff>
    </xdr:from>
    <xdr:to>
      <xdr:col>7</xdr:col>
      <xdr:colOff>9525</xdr:colOff>
      <xdr:row>157</xdr:row>
      <xdr:rowOff>19050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180</xdr:row>
      <xdr:rowOff>57150</xdr:rowOff>
    </xdr:from>
    <xdr:to>
      <xdr:col>7</xdr:col>
      <xdr:colOff>19050</xdr:colOff>
      <xdr:row>210</xdr:row>
      <xdr:rowOff>19050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233</xdr:row>
      <xdr:rowOff>76200</xdr:rowOff>
    </xdr:from>
    <xdr:to>
      <xdr:col>6</xdr:col>
      <xdr:colOff>1057275</xdr:colOff>
      <xdr:row>263</xdr:row>
      <xdr:rowOff>38100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288</xdr:row>
      <xdr:rowOff>0</xdr:rowOff>
    </xdr:from>
    <xdr:to>
      <xdr:col>6</xdr:col>
      <xdr:colOff>1047750</xdr:colOff>
      <xdr:row>317</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76199</xdr:colOff>
      <xdr:row>13</xdr:row>
      <xdr:rowOff>0</xdr:rowOff>
    </xdr:from>
    <xdr:to>
      <xdr:col>8</xdr:col>
      <xdr:colOff>47624</xdr:colOff>
      <xdr:row>37</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266699</xdr:colOff>
      <xdr:row>24</xdr:row>
      <xdr:rowOff>28575</xdr:rowOff>
    </xdr:from>
    <xdr:to>
      <xdr:col>8</xdr:col>
      <xdr:colOff>714375</xdr:colOff>
      <xdr:row>56</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15</xdr:row>
      <xdr:rowOff>0</xdr:rowOff>
    </xdr:from>
    <xdr:to>
      <xdr:col>2</xdr:col>
      <xdr:colOff>752475</xdr:colOff>
      <xdr:row>35</xdr:row>
      <xdr:rowOff>104776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xdr:colOff>
      <xdr:row>15</xdr:row>
      <xdr:rowOff>0</xdr:rowOff>
    </xdr:from>
    <xdr:to>
      <xdr:col>5</xdr:col>
      <xdr:colOff>514350</xdr:colOff>
      <xdr:row>41</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26</xdr:row>
      <xdr:rowOff>0</xdr:rowOff>
    </xdr:from>
    <xdr:to>
      <xdr:col>7</xdr:col>
      <xdr:colOff>714376</xdr:colOff>
      <xdr:row>61</xdr:row>
      <xdr:rowOff>104776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12</xdr:row>
      <xdr:rowOff>0</xdr:rowOff>
    </xdr:from>
    <xdr:to>
      <xdr:col>6</xdr:col>
      <xdr:colOff>628650</xdr:colOff>
      <xdr:row>32</xdr:row>
      <xdr:rowOff>47626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247650</xdr:colOff>
      <xdr:row>11</xdr:row>
      <xdr:rowOff>28575</xdr:rowOff>
    </xdr:from>
    <xdr:to>
      <xdr:col>5</xdr:col>
      <xdr:colOff>723900</xdr:colOff>
      <xdr:row>34</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13</xdr:row>
      <xdr:rowOff>0</xdr:rowOff>
    </xdr:from>
    <xdr:to>
      <xdr:col>7</xdr:col>
      <xdr:colOff>76201</xdr:colOff>
      <xdr:row>37</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25</xdr:row>
      <xdr:rowOff>0</xdr:rowOff>
    </xdr:from>
    <xdr:to>
      <xdr:col>11</xdr:col>
      <xdr:colOff>200025</xdr:colOff>
      <xdr:row>54</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542925</xdr:colOff>
      <xdr:row>12</xdr:row>
      <xdr:rowOff>57150</xdr:rowOff>
    </xdr:from>
    <xdr:to>
      <xdr:col>6</xdr:col>
      <xdr:colOff>428625</xdr:colOff>
      <xdr:row>32</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571500</xdr:colOff>
      <xdr:row>11</xdr:row>
      <xdr:rowOff>28574</xdr:rowOff>
    </xdr:from>
    <xdr:to>
      <xdr:col>7</xdr:col>
      <xdr:colOff>561975</xdr:colOff>
      <xdr:row>32</xdr:row>
      <xdr:rowOff>95249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152400</xdr:colOff>
      <xdr:row>25</xdr:row>
      <xdr:rowOff>104775</xdr:rowOff>
    </xdr:from>
    <xdr:to>
      <xdr:col>10</xdr:col>
      <xdr:colOff>19051</xdr:colOff>
      <xdr:row>57</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428625</xdr:colOff>
      <xdr:row>9</xdr:row>
      <xdr:rowOff>38100</xdr:rowOff>
    </xdr:from>
    <xdr:to>
      <xdr:col>4</xdr:col>
      <xdr:colOff>447675</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276226</xdr:colOff>
      <xdr:row>10</xdr:row>
      <xdr:rowOff>114299</xdr:rowOff>
    </xdr:from>
    <xdr:to>
      <xdr:col>8</xdr:col>
      <xdr:colOff>504826</xdr:colOff>
      <xdr:row>29</xdr:row>
      <xdr:rowOff>142874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323849</xdr:colOff>
      <xdr:row>25</xdr:row>
      <xdr:rowOff>171449</xdr:rowOff>
    </xdr:from>
    <xdr:to>
      <xdr:col>9</xdr:col>
      <xdr:colOff>28575</xdr:colOff>
      <xdr:row>56</xdr:row>
      <xdr:rowOff>28574</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161924</xdr:colOff>
      <xdr:row>11</xdr:row>
      <xdr:rowOff>114300</xdr:rowOff>
    </xdr:from>
    <xdr:to>
      <xdr:col>1</xdr:col>
      <xdr:colOff>628649</xdr:colOff>
      <xdr:row>30</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285749</xdr:colOff>
      <xdr:row>11</xdr:row>
      <xdr:rowOff>133350</xdr:rowOff>
    </xdr:from>
    <xdr:to>
      <xdr:col>7</xdr:col>
      <xdr:colOff>752474</xdr:colOff>
      <xdr:row>29</xdr:row>
      <xdr:rowOff>171450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14</xdr:row>
      <xdr:rowOff>152400</xdr:rowOff>
    </xdr:from>
    <xdr:to>
      <xdr:col>5</xdr:col>
      <xdr:colOff>723900</xdr:colOff>
      <xdr:row>37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114299</xdr:colOff>
      <xdr:row>24</xdr:row>
      <xdr:rowOff>114300</xdr:rowOff>
    </xdr:from>
    <xdr:to>
      <xdr:col>6</xdr:col>
      <xdr:colOff>695325</xdr:colOff>
      <xdr:row>53</xdr:row>
      <xdr:rowOff>57150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114299</xdr:colOff>
      <xdr:row>24</xdr:row>
      <xdr:rowOff>114300</xdr:rowOff>
    </xdr:from>
    <xdr:to>
      <xdr:col>6</xdr:col>
      <xdr:colOff>695325</xdr:colOff>
      <xdr:row>53</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133350</xdr:colOff>
      <xdr:row>13</xdr:row>
      <xdr:rowOff>0</xdr:rowOff>
    </xdr:from>
    <xdr:to>
      <xdr:col>3</xdr:col>
      <xdr:colOff>590549</xdr:colOff>
      <xdr:row>27</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13</xdr:row>
      <xdr:rowOff>0</xdr:rowOff>
    </xdr:from>
    <xdr:to>
      <xdr:col>3</xdr:col>
      <xdr:colOff>590549</xdr:colOff>
      <xdr:row>27</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180975</xdr:colOff>
      <xdr:row>11</xdr:row>
      <xdr:rowOff>142874</xdr:rowOff>
    </xdr:from>
    <xdr:to>
      <xdr:col>7</xdr:col>
      <xdr:colOff>695325</xdr:colOff>
      <xdr:row>29</xdr:row>
      <xdr:rowOff>76199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11</xdr:row>
      <xdr:rowOff>142874</xdr:rowOff>
    </xdr:from>
    <xdr:to>
      <xdr:col>7</xdr:col>
      <xdr:colOff>695325</xdr:colOff>
      <xdr:row>29</xdr:row>
      <xdr:rowOff>76199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219075</xdr:colOff>
      <xdr:row>25</xdr:row>
      <xdr:rowOff>66674</xdr:rowOff>
    </xdr:from>
    <xdr:to>
      <xdr:col>9</xdr:col>
      <xdr:colOff>47625</xdr:colOff>
      <xdr:row>55</xdr:row>
      <xdr:rowOff>123825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25</xdr:row>
      <xdr:rowOff>66674</xdr:rowOff>
    </xdr:from>
    <xdr:to>
      <xdr:col>9</xdr:col>
      <xdr:colOff>47625</xdr:colOff>
      <xdr:row>55</xdr:row>
      <xdr:rowOff>123825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571498</xdr:colOff>
      <xdr:row>13</xdr:row>
      <xdr:rowOff>66675</xdr:rowOff>
    </xdr:from>
    <xdr:to>
      <xdr:col>6</xdr:col>
      <xdr:colOff>466724</xdr:colOff>
      <xdr:row>39</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571498</xdr:colOff>
      <xdr:row>13</xdr:row>
      <xdr:rowOff>66675</xdr:rowOff>
    </xdr:from>
    <xdr:to>
      <xdr:col>6</xdr:col>
      <xdr:colOff>466724</xdr:colOff>
      <xdr:row>39</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85724</xdr:colOff>
      <xdr:row>12</xdr:row>
      <xdr:rowOff>142874</xdr:rowOff>
    </xdr:from>
    <xdr:to>
      <xdr:col>8</xdr:col>
      <xdr:colOff>28575</xdr:colOff>
      <xdr:row>38</xdr:row>
      <xdr:rowOff>57149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85724</xdr:colOff>
      <xdr:row>12</xdr:row>
      <xdr:rowOff>142874</xdr:rowOff>
    </xdr:from>
    <xdr:to>
      <xdr:col>8</xdr:col>
      <xdr:colOff>28575</xdr:colOff>
      <xdr:row>38</xdr:row>
      <xdr:rowOff>57149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9525</xdr:colOff>
      <xdr:row>25</xdr:row>
      <xdr:rowOff>28574</xdr:rowOff>
    </xdr:from>
    <xdr:to>
      <xdr:col>7</xdr:col>
      <xdr:colOff>742950</xdr:colOff>
      <xdr:row>61</xdr:row>
      <xdr:rowOff>161925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25</xdr:row>
      <xdr:rowOff>28574</xdr:rowOff>
    </xdr:from>
    <xdr:to>
      <xdr:col>7</xdr:col>
      <xdr:colOff>742950</xdr:colOff>
      <xdr:row>61</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171449</xdr:colOff>
      <xdr:row>16</xdr:row>
      <xdr:rowOff>38099</xdr:rowOff>
    </xdr:from>
    <xdr:to>
      <xdr:col>8</xdr:col>
      <xdr:colOff>514350</xdr:colOff>
      <xdr:row>35</xdr:row>
      <xdr:rowOff>180974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171449</xdr:colOff>
      <xdr:row>16</xdr:row>
      <xdr:rowOff>38099</xdr:rowOff>
    </xdr:from>
    <xdr:to>
      <xdr:col>8</xdr:col>
      <xdr:colOff>514350</xdr:colOff>
      <xdr:row>35</xdr:row>
      <xdr:rowOff>180974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180976</xdr:colOff>
      <xdr:row>17</xdr:row>
      <xdr:rowOff>76198</xdr:rowOff>
    </xdr:from>
    <xdr:to>
      <xdr:col>7</xdr:col>
      <xdr:colOff>657225</xdr:colOff>
      <xdr:row>47</xdr:row>
      <xdr:rowOff>190499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180976</xdr:colOff>
      <xdr:row>17</xdr:row>
      <xdr:rowOff>76198</xdr:rowOff>
    </xdr:from>
    <xdr:to>
      <xdr:col>7</xdr:col>
      <xdr:colOff>657225</xdr:colOff>
      <xdr:row>47</xdr:row>
      <xdr:rowOff>190499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66675</xdr:colOff>
      <xdr:row>25</xdr:row>
      <xdr:rowOff>38100</xdr:rowOff>
    </xdr:from>
    <xdr:to>
      <xdr:col>10</xdr:col>
      <xdr:colOff>0</xdr:colOff>
      <xdr:row>59</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25</xdr:row>
      <xdr:rowOff>38100</xdr:rowOff>
    </xdr:from>
    <xdr:to>
      <xdr:col>10</xdr:col>
      <xdr:colOff>0</xdr:colOff>
      <xdr:row>59</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57149</xdr:colOff>
      <xdr:row>15</xdr:row>
      <xdr:rowOff>19049</xdr:rowOff>
    </xdr:from>
    <xdr:to>
      <xdr:col>8</xdr:col>
      <xdr:colOff>9524</xdr:colOff>
      <xdr:row>39</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25</xdr:row>
      <xdr:rowOff>38099</xdr:rowOff>
    </xdr:from>
    <xdr:to>
      <xdr:col>8</xdr:col>
      <xdr:colOff>723900</xdr:colOff>
      <xdr:row>57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114299</xdr:colOff>
      <xdr:row>9</xdr:row>
      <xdr:rowOff>76200</xdr:rowOff>
    </xdr:from>
    <xdr:to>
      <xdr:col>2</xdr:col>
      <xdr:colOff>761999</xdr:colOff>
      <xdr:row>25</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161925</xdr:colOff>
      <xdr:row>9</xdr:row>
      <xdr:rowOff>161925</xdr:rowOff>
    </xdr:from>
    <xdr:to>
      <xdr:col>5</xdr:col>
      <xdr:colOff>666750</xdr:colOff>
      <xdr:row>27</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85724</xdr:colOff>
      <xdr:row>23</xdr:row>
      <xdr:rowOff>133350</xdr:rowOff>
    </xdr:from>
    <xdr:to>
      <xdr:col>7</xdr:col>
      <xdr:colOff>9525</xdr:colOff>
      <xdr:row>49</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IM/Flash%20Covid/R&#233;sultats/M07/Resultats_AcemoCovid_juill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ou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rep"/>
      <sheetName val="nb_rep"/>
      <sheetName val="data"/>
      <sheetName val="Suivi de la collecte"/>
      <sheetName val="Taux de NR"/>
      <sheetName val="Q1 - Q13 - Q14"/>
      <sheetName val="Q9 - Q10"/>
      <sheetName val="Q2"/>
      <sheetName val="Q2_Tab"/>
      <sheetName val="Q2_histo"/>
      <sheetName val="Q3"/>
      <sheetName val="Q3_histo"/>
      <sheetName val="Q4"/>
      <sheetName val="Q5"/>
      <sheetName val="Q5_histo"/>
      <sheetName val="Q5_tab"/>
      <sheetName val="Q6"/>
      <sheetName val="Q7"/>
      <sheetName val="Q7_histo"/>
      <sheetName val="Q8"/>
      <sheetName val="Q11"/>
      <sheetName val="Q11_histo"/>
      <sheetName val="Q12"/>
      <sheetName val="Q15_taille"/>
      <sheetName val="Q15_secteur"/>
      <sheetName val="Q15_salaries"/>
      <sheetName val="Q15_salaries_histo"/>
      <sheetName val="Q16"/>
      <sheetName val="Q17"/>
      <sheetName val="Q18"/>
      <sheetName val="Q19"/>
      <sheetName val="Q20"/>
      <sheetName val="Q21"/>
      <sheetName val="Q22"/>
      <sheetName val="Q23"/>
      <sheetName val="Q23_histo"/>
    </sheetNames>
    <sheetDataSet>
      <sheetData sheetId="0">
        <row r="1">
          <cell r="A1" t="str">
            <v>cle</v>
          </cell>
          <cell r="B1" t="str">
            <v>ligne</v>
          </cell>
          <cell r="C1" t="str">
            <v>nomemclature</v>
          </cell>
          <cell r="D1" t="str">
            <v>secteur</v>
          </cell>
          <cell r="E1" t="str">
            <v>taille</v>
          </cell>
          <cell r="F1" t="str">
            <v>q2mod1</v>
          </cell>
          <cell r="G1" t="str">
            <v>q2mod2</v>
          </cell>
          <cell r="H1" t="str">
            <v>q2mod3</v>
          </cell>
          <cell r="I1" t="str">
            <v>q2mod4</v>
          </cell>
          <cell r="J1" t="str">
            <v>q2mod5</v>
          </cell>
          <cell r="K1" t="str">
            <v>Q3mod1</v>
          </cell>
          <cell r="L1" t="str">
            <v>Q3mod2</v>
          </cell>
          <cell r="M1" t="str">
            <v>Q3mod3</v>
          </cell>
          <cell r="N1" t="str">
            <v>Q3mod4</v>
          </cell>
          <cell r="O1" t="str">
            <v>q4mod1</v>
          </cell>
          <cell r="P1" t="str">
            <v>q4mod2</v>
          </cell>
          <cell r="Q1" t="str">
            <v>q4mod3</v>
          </cell>
          <cell r="R1" t="str">
            <v>q4mod4</v>
          </cell>
          <cell r="S1" t="str">
            <v>q4mod5</v>
          </cell>
          <cell r="T1" t="str">
            <v>q4mod6</v>
          </cell>
          <cell r="U1" t="str">
            <v>q4mod7</v>
          </cell>
          <cell r="V1" t="str">
            <v>q4mod8</v>
          </cell>
          <cell r="W1" t="str">
            <v>q5mod1</v>
          </cell>
          <cell r="X1" t="str">
            <v>q5mod2</v>
          </cell>
          <cell r="Y1" t="str">
            <v>q5mod3</v>
          </cell>
          <cell r="Z1" t="str">
            <v>q6mod1</v>
          </cell>
          <cell r="AA1" t="str">
            <v>q6mod2</v>
          </cell>
          <cell r="AB1" t="str">
            <v>q6mod3</v>
          </cell>
          <cell r="AC1" t="str">
            <v>q6mod4</v>
          </cell>
          <cell r="AD1" t="str">
            <v>q6mod5</v>
          </cell>
          <cell r="AE1" t="str">
            <v>q7mod1</v>
          </cell>
          <cell r="AF1" t="str">
            <v>q7mod2</v>
          </cell>
          <cell r="AG1" t="str">
            <v>q8mod1</v>
          </cell>
          <cell r="AH1" t="str">
            <v>q8mod2</v>
          </cell>
          <cell r="AI1" t="str">
            <v>q11mod1</v>
          </cell>
          <cell r="AJ1" t="str">
            <v>q11mod2</v>
          </cell>
          <cell r="AK1" t="str">
            <v>q11mod3</v>
          </cell>
          <cell r="AL1" t="str">
            <v>q11mod4</v>
          </cell>
          <cell r="AM1" t="str">
            <v>q11mod5</v>
          </cell>
          <cell r="AN1" t="str">
            <v>q12mod1</v>
          </cell>
          <cell r="AO1" t="str">
            <v>q12mod2</v>
          </cell>
          <cell r="AP1" t="str">
            <v>q12mod3</v>
          </cell>
          <cell r="AQ1" t="str">
            <v>q12mod4</v>
          </cell>
          <cell r="AR1" t="str">
            <v>q12mod5</v>
          </cell>
          <cell r="AS1" t="str">
            <v>q15amod1</v>
          </cell>
          <cell r="AT1" t="str">
            <v>q15amod2</v>
          </cell>
          <cell r="AU1" t="str">
            <v>q15amod3</v>
          </cell>
          <cell r="AV1" t="str">
            <v>q15amod4</v>
          </cell>
          <cell r="AW1" t="str">
            <v>q15amod5</v>
          </cell>
          <cell r="AX1" t="str">
            <v>q15amod6</v>
          </cell>
          <cell r="AY1" t="str">
            <v>q15bmod1</v>
          </cell>
          <cell r="AZ1" t="str">
            <v>q15bmod2</v>
          </cell>
          <cell r="BA1" t="str">
            <v>q15bmod3</v>
          </cell>
          <cell r="BB1" t="str">
            <v>q15bmod4</v>
          </cell>
          <cell r="BC1" t="str">
            <v>q15bmod5</v>
          </cell>
          <cell r="BD1" t="str">
            <v>q15bmod6</v>
          </cell>
          <cell r="BE1" t="str">
            <v>q15cmod1</v>
          </cell>
          <cell r="BF1" t="str">
            <v>q15cmod2</v>
          </cell>
          <cell r="BG1" t="str">
            <v>q15cmod3</v>
          </cell>
          <cell r="BH1" t="str">
            <v>q15cmod4</v>
          </cell>
          <cell r="BI1" t="str">
            <v>q15cmod5</v>
          </cell>
          <cell r="BJ1" t="str">
            <v>q15cmod6</v>
          </cell>
          <cell r="BK1" t="str">
            <v>q15dmod1</v>
          </cell>
          <cell r="BL1" t="str">
            <v>q15dmod2</v>
          </cell>
          <cell r="BM1" t="str">
            <v>q15dmod3</v>
          </cell>
          <cell r="BN1" t="str">
            <v>q15dmod4</v>
          </cell>
          <cell r="BO1" t="str">
            <v>q15dmod5</v>
          </cell>
          <cell r="BP1" t="str">
            <v>q15dmod6</v>
          </cell>
          <cell r="BQ1" t="str">
            <v>q15emod1</v>
          </cell>
          <cell r="BR1" t="str">
            <v>q15emod2</v>
          </cell>
          <cell r="BS1" t="str">
            <v>q15emod3</v>
          </cell>
          <cell r="BT1" t="str">
            <v>q15emod4</v>
          </cell>
          <cell r="BU1" t="str">
            <v>q15emod5</v>
          </cell>
          <cell r="BV1" t="str">
            <v>q15emod6</v>
          </cell>
          <cell r="BW1" t="str">
            <v>q15fmod1</v>
          </cell>
          <cell r="BX1" t="str">
            <v>q15fmod2</v>
          </cell>
          <cell r="BY1" t="str">
            <v>q15fmod3</v>
          </cell>
          <cell r="BZ1" t="str">
            <v>q15fmod4</v>
          </cell>
          <cell r="CA1" t="str">
            <v>q15fmod5</v>
          </cell>
          <cell r="CB1" t="str">
            <v>q15fmod6</v>
          </cell>
          <cell r="CC1" t="str">
            <v>q16mod1</v>
          </cell>
          <cell r="CD1" t="str">
            <v>q16mod2</v>
          </cell>
          <cell r="CE1" t="str">
            <v>q16mod3</v>
          </cell>
          <cell r="CF1" t="str">
            <v>q16mod4</v>
          </cell>
          <cell r="CG1" t="str">
            <v>q16mod5</v>
          </cell>
          <cell r="CH1" t="str">
            <v>q16mod6</v>
          </cell>
          <cell r="CI1" t="str">
            <v>q16mod7</v>
          </cell>
          <cell r="CJ1" t="str">
            <v>q16mod8</v>
          </cell>
          <cell r="CK1" t="str">
            <v>q17mod1</v>
          </cell>
          <cell r="CL1" t="str">
            <v>q17mod2</v>
          </cell>
          <cell r="CM1" t="str">
            <v>q17mod3</v>
          </cell>
          <cell r="CN1" t="str">
            <v>q17mod4</v>
          </cell>
          <cell r="CO1" t="str">
            <v>q17mod5</v>
          </cell>
          <cell r="CP1" t="str">
            <v>q18mod1</v>
          </cell>
          <cell r="CQ1" t="str">
            <v>q18mod2</v>
          </cell>
          <cell r="CR1" t="str">
            <v>q18mod3</v>
          </cell>
          <cell r="CS1" t="str">
            <v>q18mod4</v>
          </cell>
          <cell r="CT1" t="str">
            <v>q19amod1</v>
          </cell>
          <cell r="CU1" t="str">
            <v>q19amod2</v>
          </cell>
          <cell r="CV1" t="str">
            <v>q19bmod1</v>
          </cell>
          <cell r="CW1" t="str">
            <v>q19bmod2</v>
          </cell>
          <cell r="CX1" t="str">
            <v>q20mod1</v>
          </cell>
          <cell r="CY1" t="str">
            <v>q20mod2</v>
          </cell>
          <cell r="CZ1" t="str">
            <v>q20mod3</v>
          </cell>
          <cell r="DA1" t="str">
            <v>q21mod1</v>
          </cell>
          <cell r="DB1" t="str">
            <v>q21mod2</v>
          </cell>
          <cell r="DC1" t="str">
            <v>q21mod3</v>
          </cell>
          <cell r="DD1" t="str">
            <v>q21mod4</v>
          </cell>
          <cell r="DE1" t="str">
            <v>q21mod5</v>
          </cell>
          <cell r="DF1" t="str">
            <v>q22mod1</v>
          </cell>
          <cell r="DG1" t="str">
            <v>q22mod2</v>
          </cell>
          <cell r="DH1" t="str">
            <v>q22mod3</v>
          </cell>
          <cell r="DI1" t="str">
            <v>q22mod4</v>
          </cell>
          <cell r="DJ1" t="str">
            <v>q22mod5</v>
          </cell>
          <cell r="DK1" t="str">
            <v>q22mod6</v>
          </cell>
          <cell r="DL1" t="str">
            <v>q23mod1</v>
          </cell>
          <cell r="DM1" t="str">
            <v>q23mod2</v>
          </cell>
          <cell r="DN1" t="str">
            <v>q23mod3</v>
          </cell>
          <cell r="DO1" t="str">
            <v>q23mod4</v>
          </cell>
          <cell r="DP1" t="str">
            <v>q23mod5</v>
          </cell>
          <cell r="DQ1" t="str">
            <v>q23mod6</v>
          </cell>
          <cell r="DR1" t="str">
            <v>q23mod7</v>
          </cell>
          <cell r="DS1" t="str">
            <v>q23mod8</v>
          </cell>
          <cell r="DT1" t="str">
            <v>q23mod9</v>
          </cell>
          <cell r="DU1" t="str">
            <v>Q2q15amod11</v>
          </cell>
          <cell r="DV1" t="str">
            <v>Q2q15amod15</v>
          </cell>
          <cell r="DW1" t="str">
            <v>Q2q15amod13</v>
          </cell>
          <cell r="DX1" t="str">
            <v>Q2q15amod14</v>
          </cell>
          <cell r="DY1" t="str">
            <v>Q2q15amod16</v>
          </cell>
          <cell r="DZ1" t="str">
            <v>Q2q15amod21</v>
          </cell>
          <cell r="EA1" t="str">
            <v>Q2q15amod22</v>
          </cell>
          <cell r="EB1" t="str">
            <v>Q2q15amod23</v>
          </cell>
          <cell r="EC1" t="str">
            <v>Q2q15amod24</v>
          </cell>
          <cell r="ED1" t="str">
            <v>Q2q15amod25</v>
          </cell>
          <cell r="EE1" t="str">
            <v>Q2q15amod26</v>
          </cell>
          <cell r="EF1" t="str">
            <v>Q2q15amod31</v>
          </cell>
          <cell r="EG1" t="str">
            <v>Q2q15amod32</v>
          </cell>
          <cell r="EH1" t="str">
            <v>Q2q15amod33</v>
          </cell>
          <cell r="EI1" t="str">
            <v>Q2q15amod34</v>
          </cell>
          <cell r="EJ1" t="str">
            <v>Q2q15amod35</v>
          </cell>
          <cell r="EK1" t="str">
            <v>Q2q15amod36</v>
          </cell>
          <cell r="EL1" t="str">
            <v>Q2q15amod41</v>
          </cell>
          <cell r="EM1" t="str">
            <v>Q2q15amod42</v>
          </cell>
          <cell r="EN1" t="str">
            <v>Q2q15amod43</v>
          </cell>
          <cell r="EO1" t="str">
            <v>Q2q15amod44</v>
          </cell>
          <cell r="EP1" t="str">
            <v>Q2q15amod45</v>
          </cell>
          <cell r="EQ1" t="str">
            <v>Q2q15amod46</v>
          </cell>
          <cell r="ER1" t="str">
            <v>Q2q15amod51</v>
          </cell>
          <cell r="ES1" t="str">
            <v>Q2q15amod52</v>
          </cell>
          <cell r="ET1" t="str">
            <v>Q2q15amod53</v>
          </cell>
          <cell r="EU1" t="str">
            <v>Q2q15amod54</v>
          </cell>
          <cell r="EV1" t="str">
            <v>Q2q15amod55</v>
          </cell>
          <cell r="EW1" t="str">
            <v>Q2q15amod56</v>
          </cell>
          <cell r="EX1" t="str">
            <v>Q2q15bmod11</v>
          </cell>
          <cell r="EY1" t="str">
            <v>Q2q15bmod15</v>
          </cell>
          <cell r="EZ1" t="str">
            <v>Q2q15bmod13</v>
          </cell>
          <cell r="FA1" t="str">
            <v>Q2q15bmod14</v>
          </cell>
          <cell r="FB1" t="str">
            <v>Q2q15bmod16</v>
          </cell>
          <cell r="FC1" t="str">
            <v>Q2q15bmod21</v>
          </cell>
          <cell r="FD1" t="str">
            <v>Q2q15bmod22</v>
          </cell>
          <cell r="FE1" t="str">
            <v>Q2q15bmod23</v>
          </cell>
          <cell r="FF1" t="str">
            <v>Q2q15bmod24</v>
          </cell>
          <cell r="FG1" t="str">
            <v>Q2q15bmod25</v>
          </cell>
          <cell r="FH1" t="str">
            <v>Q2q15bmod26</v>
          </cell>
          <cell r="FI1" t="str">
            <v>Q2q15bmod31</v>
          </cell>
          <cell r="FJ1" t="str">
            <v>Q2q15bmod32</v>
          </cell>
          <cell r="FK1" t="str">
            <v>Q2q15bmod33</v>
          </cell>
          <cell r="FL1" t="str">
            <v>Q2q15bmod34</v>
          </cell>
          <cell r="FM1" t="str">
            <v>Q2q15bmod35</v>
          </cell>
          <cell r="FN1" t="str">
            <v>Q2q15bmod36</v>
          </cell>
          <cell r="FO1" t="str">
            <v>Q2q15bmod41</v>
          </cell>
          <cell r="FP1" t="str">
            <v>Q2q15bmod42</v>
          </cell>
          <cell r="FQ1" t="str">
            <v>Q2q15bmod43</v>
          </cell>
          <cell r="FR1" t="str">
            <v>Q2q15bmod44</v>
          </cell>
          <cell r="FS1" t="str">
            <v>Q2q15bmod45</v>
          </cell>
          <cell r="FT1" t="str">
            <v>Q2q15bmod46</v>
          </cell>
          <cell r="FU1" t="str">
            <v>Q2q15bmod51</v>
          </cell>
          <cell r="FV1" t="str">
            <v>Q2q15bmod52</v>
          </cell>
          <cell r="FW1" t="str">
            <v>Q2q15bmod53</v>
          </cell>
          <cell r="FX1" t="str">
            <v>Q2q15bmod54</v>
          </cell>
          <cell r="FY1" t="str">
            <v>Q2q15bmod55</v>
          </cell>
          <cell r="FZ1" t="str">
            <v>Q2q15bmod56</v>
          </cell>
          <cell r="GA1" t="str">
            <v>Q2q15cmod11</v>
          </cell>
          <cell r="GB1" t="str">
            <v>Q2q15cmod15</v>
          </cell>
          <cell r="GC1" t="str">
            <v>Q2q15cmod13</v>
          </cell>
          <cell r="GD1" t="str">
            <v>Q2q15cmod14</v>
          </cell>
          <cell r="GE1" t="str">
            <v>Q2q15cmod16</v>
          </cell>
          <cell r="GF1" t="str">
            <v>Q2q15cmod21</v>
          </cell>
          <cell r="GG1" t="str">
            <v>Q2q15cmod22</v>
          </cell>
          <cell r="GH1" t="str">
            <v>Q2q15cmod23</v>
          </cell>
          <cell r="GI1" t="str">
            <v>Q2q15cmod24</v>
          </cell>
          <cell r="GJ1" t="str">
            <v>Q2q15cmod25</v>
          </cell>
          <cell r="GK1" t="str">
            <v>Q2q15cmod26</v>
          </cell>
          <cell r="GL1" t="str">
            <v>Q2q15cmod31</v>
          </cell>
          <cell r="GM1" t="str">
            <v>Q2q15cmod32</v>
          </cell>
          <cell r="GN1" t="str">
            <v>Q2q15cmod33</v>
          </cell>
          <cell r="GO1" t="str">
            <v>Q2q15cmod34</v>
          </cell>
          <cell r="GP1" t="str">
            <v>Q2q15cmod35</v>
          </cell>
          <cell r="GQ1" t="str">
            <v>Q2q15cmod36</v>
          </cell>
          <cell r="GR1" t="str">
            <v>Q2q15cmod41</v>
          </cell>
          <cell r="GS1" t="str">
            <v>Q2q15cmod42</v>
          </cell>
          <cell r="GT1" t="str">
            <v>Q2q15cmod43</v>
          </cell>
          <cell r="GU1" t="str">
            <v>Q2q15cmod44</v>
          </cell>
          <cell r="GV1" t="str">
            <v>Q2q15cmod45</v>
          </cell>
          <cell r="GW1" t="str">
            <v>Q2q15cmod46</v>
          </cell>
          <cell r="GX1" t="str">
            <v>Q2q15cmod51</v>
          </cell>
          <cell r="GY1" t="str">
            <v>Q2q15cmod52</v>
          </cell>
          <cell r="GZ1" t="str">
            <v>Q2q15cmod53</v>
          </cell>
          <cell r="HA1" t="str">
            <v>Q2q15cmod54</v>
          </cell>
          <cell r="HB1" t="str">
            <v>Q2q15cmod55</v>
          </cell>
          <cell r="HC1" t="str">
            <v>Q2q15cmod56</v>
          </cell>
          <cell r="HD1" t="str">
            <v>Q2q15dmod11</v>
          </cell>
          <cell r="HE1" t="str">
            <v>Q2q15dmod15</v>
          </cell>
          <cell r="HF1" t="str">
            <v>Q2q15dmod13</v>
          </cell>
          <cell r="HG1" t="str">
            <v>Q2q15dmod14</v>
          </cell>
          <cell r="HH1" t="str">
            <v>Q2q15dmod16</v>
          </cell>
          <cell r="HI1" t="str">
            <v>Q2q15dmod21</v>
          </cell>
          <cell r="HJ1" t="str">
            <v>Q2q15dmod22</v>
          </cell>
          <cell r="HK1" t="str">
            <v>Q2q15dmod23</v>
          </cell>
          <cell r="HL1" t="str">
            <v>Q2q15dmod24</v>
          </cell>
          <cell r="HM1" t="str">
            <v>Q2q15dmod25</v>
          </cell>
          <cell r="HN1" t="str">
            <v>Q2q15dmod26</v>
          </cell>
          <cell r="HO1" t="str">
            <v>Q2q15dmod31</v>
          </cell>
          <cell r="HP1" t="str">
            <v>Q2q15dmod32</v>
          </cell>
          <cell r="HQ1" t="str">
            <v>Q2q15dmod33</v>
          </cell>
          <cell r="HR1" t="str">
            <v>Q2q15dmod34</v>
          </cell>
          <cell r="HS1" t="str">
            <v>Q2q15dmod35</v>
          </cell>
          <cell r="HT1" t="str">
            <v>Q2q15dmod36</v>
          </cell>
          <cell r="HU1" t="str">
            <v>Q2q15dmod41</v>
          </cell>
          <cell r="HV1" t="str">
            <v>Q2q15dmod42</v>
          </cell>
          <cell r="HW1" t="str">
            <v>Q2q15dmod43</v>
          </cell>
          <cell r="HX1" t="str">
            <v>Q2q15dmod44</v>
          </cell>
          <cell r="HY1" t="str">
            <v>Q2q15dmod45</v>
          </cell>
          <cell r="HZ1" t="str">
            <v>Q2q15dmod46</v>
          </cell>
          <cell r="IA1" t="str">
            <v>Q2q15dmod51</v>
          </cell>
          <cell r="IB1" t="str">
            <v>Q2q15dmod52</v>
          </cell>
          <cell r="IC1" t="str">
            <v>Q2q15dmod53</v>
          </cell>
          <cell r="ID1" t="str">
            <v>Q2q15dmod54</v>
          </cell>
          <cell r="IE1" t="str">
            <v>Q2q15dmod55</v>
          </cell>
          <cell r="IF1" t="str">
            <v>Q2q15dmod56</v>
          </cell>
          <cell r="IG1" t="str">
            <v>Q2q15emod11</v>
          </cell>
          <cell r="IH1" t="str">
            <v>Q2q15emod15</v>
          </cell>
          <cell r="II1" t="str">
            <v>Q2q15emod13</v>
          </cell>
          <cell r="IJ1" t="str">
            <v>Q2q15emod14</v>
          </cell>
          <cell r="IK1" t="str">
            <v>Q2q15emod16</v>
          </cell>
          <cell r="IL1" t="str">
            <v>Q2q15emod21</v>
          </cell>
          <cell r="IM1" t="str">
            <v>Q2q15emod22</v>
          </cell>
          <cell r="IN1" t="str">
            <v>Q2q15emod23</v>
          </cell>
          <cell r="IO1" t="str">
            <v>Q2q15emod24</v>
          </cell>
          <cell r="IP1" t="str">
            <v>Q2q15emod25</v>
          </cell>
          <cell r="IQ1" t="str">
            <v>Q2q15emod26</v>
          </cell>
          <cell r="IR1" t="str">
            <v>Q2q15emod31</v>
          </cell>
          <cell r="IS1" t="str">
            <v>Q2q15emod32</v>
          </cell>
          <cell r="IT1" t="str">
            <v>Q2q15emod33</v>
          </cell>
          <cell r="IU1" t="str">
            <v>Q2q15emod34</v>
          </cell>
          <cell r="IV1" t="str">
            <v>Q2q15emod35</v>
          </cell>
          <cell r="IW1" t="str">
            <v>Q2q15emod36</v>
          </cell>
          <cell r="IX1" t="str">
            <v>Q2q15emod41</v>
          </cell>
          <cell r="IY1" t="str">
            <v>Q2q15emod42</v>
          </cell>
          <cell r="IZ1" t="str">
            <v>Q2q15emod43</v>
          </cell>
          <cell r="JA1" t="str">
            <v>Q2q15emod44</v>
          </cell>
          <cell r="JB1" t="str">
            <v>Q2q15emod45</v>
          </cell>
          <cell r="JC1" t="str">
            <v>Q2q15emod46</v>
          </cell>
          <cell r="JD1" t="str">
            <v>Q2q15emod51</v>
          </cell>
          <cell r="JE1" t="str">
            <v>Q2q15emod52</v>
          </cell>
          <cell r="JF1" t="str">
            <v>Q2q15emod53</v>
          </cell>
          <cell r="JG1" t="str">
            <v>Q2q15emod54</v>
          </cell>
          <cell r="JH1" t="str">
            <v>Q2q15emod55</v>
          </cell>
          <cell r="JI1" t="str">
            <v>Q2q15emod56</v>
          </cell>
          <cell r="JJ1" t="str">
            <v>Q2q15fmod11</v>
          </cell>
          <cell r="JK1" t="str">
            <v>Q2q15fmod15</v>
          </cell>
          <cell r="JL1" t="str">
            <v>Q2q15fmod13</v>
          </cell>
          <cell r="JM1" t="str">
            <v>Q2q15fmod14</v>
          </cell>
          <cell r="JN1" t="str">
            <v>Q2q15fmod16</v>
          </cell>
          <cell r="JO1" t="str">
            <v>Q2q15fmod21</v>
          </cell>
          <cell r="JP1" t="str">
            <v>Q2q15fmod22</v>
          </cell>
          <cell r="JQ1" t="str">
            <v>Q2q15fmod23</v>
          </cell>
          <cell r="JR1" t="str">
            <v>Q2q15fmod24</v>
          </cell>
          <cell r="JS1" t="str">
            <v>Q2q15fmod25</v>
          </cell>
          <cell r="JT1" t="str">
            <v>Q2q15fmod26</v>
          </cell>
          <cell r="JU1" t="str">
            <v>Q2q15fmod31</v>
          </cell>
          <cell r="JV1" t="str">
            <v>Q2q15fmod32</v>
          </cell>
          <cell r="JW1" t="str">
            <v>Q2q15fmod33</v>
          </cell>
          <cell r="JX1" t="str">
            <v>Q2q15fmod34</v>
          </cell>
          <cell r="JY1" t="str">
            <v>Q2q15fmod35</v>
          </cell>
          <cell r="JZ1" t="str">
            <v>Q2q15fmod36</v>
          </cell>
          <cell r="KA1" t="str">
            <v>Q2q15fmod41</v>
          </cell>
          <cell r="KB1" t="str">
            <v>Q2q15fmod42</v>
          </cell>
          <cell r="KC1" t="str">
            <v>Q2q15fmod43</v>
          </cell>
          <cell r="KD1" t="str">
            <v>Q2q15fmod44</v>
          </cell>
          <cell r="KE1" t="str">
            <v>Q2q15fmod45</v>
          </cell>
          <cell r="KF1" t="str">
            <v>Q2q15fmod46</v>
          </cell>
          <cell r="KG1" t="str">
            <v>Q2q15fmod51</v>
          </cell>
          <cell r="KH1" t="str">
            <v>Q2q15fmod52</v>
          </cell>
          <cell r="KI1" t="str">
            <v>Q2q15fmod53</v>
          </cell>
          <cell r="KJ1" t="str">
            <v>Q2q15fmod54</v>
          </cell>
          <cell r="KK1" t="str">
            <v>Q2q15fmod55</v>
          </cell>
          <cell r="KL1" t="str">
            <v>Q2q15fmod56</v>
          </cell>
          <cell r="KM1" t="str">
            <v>q15_sa</v>
          </cell>
          <cell r="KN1" t="str">
            <v>q15_sb</v>
          </cell>
          <cell r="KO1" t="str">
            <v>q15_sc</v>
          </cell>
          <cell r="KP1" t="str">
            <v>q15_sd</v>
          </cell>
          <cell r="KQ1" t="str">
            <v>q15_se</v>
          </cell>
          <cell r="KR1" t="str">
            <v>q15_sf</v>
          </cell>
          <cell r="KS1" t="str">
            <v>q15_2_sa</v>
          </cell>
          <cell r="KT1" t="str">
            <v>q15_2_sb</v>
          </cell>
          <cell r="KU1" t="str">
            <v>q15_2_sc</v>
          </cell>
          <cell r="KV1" t="str">
            <v>q15_2_sd</v>
          </cell>
          <cell r="KW1" t="str">
            <v>q15_2_se</v>
          </cell>
          <cell r="KX1" t="str">
            <v>q15_2_sf</v>
          </cell>
        </row>
        <row r="2">
          <cell r="A2" t="str">
            <v>EnsEns</v>
          </cell>
          <cell r="B2" t="str">
            <v>2</v>
          </cell>
          <cell r="C2" t="str">
            <v>Ensemble</v>
          </cell>
          <cell r="D2" t="str">
            <v/>
          </cell>
          <cell r="E2" t="str">
            <v/>
          </cell>
          <cell r="F2">
            <v>1.4000000000000001</v>
          </cell>
          <cell r="G2">
            <v>11.4</v>
          </cell>
          <cell r="H2">
            <v>38.5</v>
          </cell>
          <cell r="I2">
            <v>37.1</v>
          </cell>
          <cell r="J2">
            <v>11.600000000000001</v>
          </cell>
          <cell r="K2">
            <v>64</v>
          </cell>
          <cell r="L2">
            <v>19.7</v>
          </cell>
          <cell r="M2">
            <v>6.2</v>
          </cell>
          <cell r="N2">
            <v>10.100000000000001</v>
          </cell>
          <cell r="O2">
            <v>30.2</v>
          </cell>
          <cell r="P2">
            <v>34.1</v>
          </cell>
          <cell r="Q2">
            <v>14.000000000000002</v>
          </cell>
          <cell r="R2">
            <v>7.0000000000000009</v>
          </cell>
          <cell r="S2">
            <v>15.8</v>
          </cell>
          <cell r="T2">
            <v>31.6</v>
          </cell>
          <cell r="U2">
            <v>7.5</v>
          </cell>
          <cell r="V2">
            <v>21</v>
          </cell>
          <cell r="W2">
            <v>13.5</v>
          </cell>
          <cell r="X2">
            <v>78.900000000000006</v>
          </cell>
          <cell r="Y2">
            <v>7.7</v>
          </cell>
          <cell r="Z2">
            <v>5.5</v>
          </cell>
          <cell r="AA2">
            <v>50.8</v>
          </cell>
          <cell r="AB2">
            <v>10.199999999999999</v>
          </cell>
          <cell r="AC2">
            <v>58.599999999999994</v>
          </cell>
          <cell r="AD2">
            <v>23.400000000000002</v>
          </cell>
          <cell r="AE2">
            <v>57.699999999999996</v>
          </cell>
          <cell r="AF2">
            <v>42.3</v>
          </cell>
          <cell r="AG2">
            <v>68</v>
          </cell>
          <cell r="AH2">
            <v>32</v>
          </cell>
          <cell r="AI2">
            <v>39.5</v>
          </cell>
          <cell r="AJ2">
            <v>11.899999999999999</v>
          </cell>
          <cell r="AK2">
            <v>3.3000000000000003</v>
          </cell>
          <cell r="AL2">
            <v>38.4</v>
          </cell>
          <cell r="AM2">
            <v>6.8000000000000007</v>
          </cell>
          <cell r="AN2">
            <v>8.4</v>
          </cell>
          <cell r="AO2">
            <v>2.6</v>
          </cell>
          <cell r="AP2">
            <v>5.4</v>
          </cell>
          <cell r="AQ2">
            <v>70.599999999999994</v>
          </cell>
          <cell r="AR2">
            <v>13.100000000000001</v>
          </cell>
          <cell r="AS2">
            <v>56.699999999999996</v>
          </cell>
          <cell r="AT2">
            <v>16.3</v>
          </cell>
          <cell r="AU2">
            <v>8.9</v>
          </cell>
          <cell r="AV2">
            <v>7.3999999999999995</v>
          </cell>
          <cell r="AW2">
            <v>6</v>
          </cell>
          <cell r="AX2">
            <v>4.7</v>
          </cell>
          <cell r="AY2">
            <v>5.8999999999999995</v>
          </cell>
          <cell r="AZ2">
            <v>8.3000000000000007</v>
          </cell>
          <cell r="BA2">
            <v>8.4</v>
          </cell>
          <cell r="BB2">
            <v>11.600000000000001</v>
          </cell>
          <cell r="BC2">
            <v>30.099999999999998</v>
          </cell>
          <cell r="BD2">
            <v>35.799999999999997</v>
          </cell>
          <cell r="BE2">
            <v>1.4000000000000001</v>
          </cell>
          <cell r="BF2">
            <v>2.2999999999999998</v>
          </cell>
          <cell r="BG2">
            <v>2.6</v>
          </cell>
          <cell r="BH2">
            <v>6.6000000000000005</v>
          </cell>
          <cell r="BI2">
            <v>34.5</v>
          </cell>
          <cell r="BJ2">
            <v>52.6</v>
          </cell>
          <cell r="BK2">
            <v>0</v>
          </cell>
          <cell r="BL2">
            <v>0</v>
          </cell>
          <cell r="BM2">
            <v>0.4</v>
          </cell>
          <cell r="BN2">
            <v>8.7999999999999989</v>
          </cell>
          <cell r="BO2">
            <v>70.599999999999994</v>
          </cell>
          <cell r="BP2">
            <v>20.200000000000003</v>
          </cell>
          <cell r="BQ2">
            <v>0.2</v>
          </cell>
          <cell r="BR2">
            <v>0.2</v>
          </cell>
          <cell r="BS2">
            <v>1.4000000000000001</v>
          </cell>
          <cell r="BT2">
            <v>12.8</v>
          </cell>
          <cell r="BU2">
            <v>61.6</v>
          </cell>
          <cell r="BV2">
            <v>23.799999999999997</v>
          </cell>
          <cell r="BW2">
            <v>0</v>
          </cell>
          <cell r="BX2">
            <v>0</v>
          </cell>
          <cell r="BY2" t="str">
            <v>nd</v>
          </cell>
          <cell r="BZ2">
            <v>0.3</v>
          </cell>
          <cell r="CA2">
            <v>2.5</v>
          </cell>
          <cell r="CB2">
            <v>97.3</v>
          </cell>
          <cell r="CC2">
            <v>17.100000000000001</v>
          </cell>
          <cell r="CD2">
            <v>11</v>
          </cell>
          <cell r="CE2">
            <v>1.2</v>
          </cell>
          <cell r="CF2">
            <v>1.7999999999999998</v>
          </cell>
          <cell r="CG2">
            <v>0.5</v>
          </cell>
          <cell r="CH2">
            <v>16.2</v>
          </cell>
          <cell r="CI2">
            <v>8.9</v>
          </cell>
          <cell r="CJ2">
            <v>63.1</v>
          </cell>
          <cell r="CK2">
            <v>34.5</v>
          </cell>
          <cell r="CL2">
            <v>6.1</v>
          </cell>
          <cell r="CM2">
            <v>2.7</v>
          </cell>
          <cell r="CN2">
            <v>1.5</v>
          </cell>
          <cell r="CO2">
            <v>63.1</v>
          </cell>
          <cell r="CP2">
            <v>19.100000000000001</v>
          </cell>
          <cell r="CQ2">
            <v>29.599999999999998</v>
          </cell>
          <cell r="CR2">
            <v>15.5</v>
          </cell>
          <cell r="CS2">
            <v>35.9</v>
          </cell>
          <cell r="CT2">
            <v>25.1</v>
          </cell>
          <cell r="CU2">
            <v>74.900000000000006</v>
          </cell>
          <cell r="CV2">
            <v>25.3</v>
          </cell>
          <cell r="CW2">
            <v>74.7</v>
          </cell>
          <cell r="CX2">
            <v>25.5</v>
          </cell>
          <cell r="CY2">
            <v>25.3</v>
          </cell>
          <cell r="CZ2">
            <v>49.3</v>
          </cell>
          <cell r="DA2">
            <v>39.5</v>
          </cell>
          <cell r="DB2">
            <v>6.9</v>
          </cell>
          <cell r="DC2">
            <v>13.700000000000001</v>
          </cell>
          <cell r="DD2">
            <v>0.89999999999999991</v>
          </cell>
          <cell r="DE2">
            <v>59.199999999999996</v>
          </cell>
          <cell r="DF2">
            <v>17.8</v>
          </cell>
          <cell r="DG2">
            <v>7.8</v>
          </cell>
          <cell r="DH2">
            <v>18.5</v>
          </cell>
          <cell r="DI2">
            <v>14.2</v>
          </cell>
          <cell r="DJ2">
            <v>20.3</v>
          </cell>
          <cell r="DK2">
            <v>21.4</v>
          </cell>
          <cell r="DL2">
            <v>17.299999999999997</v>
          </cell>
          <cell r="DM2">
            <v>36.199999999999996</v>
          </cell>
          <cell r="DN2">
            <v>10.299999999999999</v>
          </cell>
          <cell r="DO2">
            <v>29.9</v>
          </cell>
          <cell r="DP2">
            <v>9.3000000000000007</v>
          </cell>
          <cell r="DQ2">
            <v>4.7</v>
          </cell>
          <cell r="DR2">
            <v>10.199999999999999</v>
          </cell>
          <cell r="DS2">
            <v>21.3</v>
          </cell>
          <cell r="DT2">
            <v>18.899999999999999</v>
          </cell>
          <cell r="DU2">
            <v>0.21509599999999998</v>
          </cell>
          <cell r="DV2">
            <v>0.40943600000000002</v>
          </cell>
          <cell r="DW2">
            <v>4.8277299999999995E-2</v>
          </cell>
          <cell r="DX2">
            <v>0.118075</v>
          </cell>
          <cell r="DY2">
            <v>0.47328099999999995</v>
          </cell>
          <cell r="DZ2">
            <v>3.5749900000000001</v>
          </cell>
          <cell r="EA2">
            <v>2.3255399999999997</v>
          </cell>
          <cell r="EB2">
            <v>1.984</v>
          </cell>
          <cell r="EC2">
            <v>1.34423</v>
          </cell>
          <cell r="ED2">
            <v>1.7600100000000001</v>
          </cell>
          <cell r="EE2">
            <v>0.41303199999999995</v>
          </cell>
          <cell r="EF2">
            <v>18.896055499999999</v>
          </cell>
          <cell r="EG2">
            <v>8.5263618000000001</v>
          </cell>
          <cell r="EH2">
            <v>3.8490700000000002</v>
          </cell>
          <cell r="EI2">
            <v>3.9800200000000001</v>
          </cell>
          <cell r="EJ2">
            <v>2.03261</v>
          </cell>
          <cell r="EK2">
            <v>1.21105</v>
          </cell>
          <cell r="EL2">
            <v>25.805400099999996</v>
          </cell>
          <cell r="EM2">
            <v>4.0556099999999997</v>
          </cell>
          <cell r="EN2">
            <v>2.0200200000000001</v>
          </cell>
          <cell r="EO2">
            <v>1.6008899999999999</v>
          </cell>
          <cell r="EP2">
            <v>1.57708</v>
          </cell>
          <cell r="EQ2">
            <v>2.0618300000000001</v>
          </cell>
          <cell r="ER2">
            <v>8.1001846999999998</v>
          </cell>
          <cell r="ES2">
            <v>1.3694299999999999</v>
          </cell>
          <cell r="ET2">
            <v>1.04243</v>
          </cell>
          <cell r="EU2">
            <v>0.42712799999999995</v>
          </cell>
          <cell r="EV2">
            <v>0.18890799999999999</v>
          </cell>
          <cell r="EW2">
            <v>0.53579200000000005</v>
          </cell>
          <cell r="EX2">
            <v>3.0522999999999998E-2</v>
          </cell>
          <cell r="EY2">
            <v>0.468138</v>
          </cell>
          <cell r="EZ2">
            <v>2.5646200000000001E-2</v>
          </cell>
          <cell r="FA2">
            <v>9.5004699999999997E-2</v>
          </cell>
          <cell r="FB2">
            <v>0.73770900000000006</v>
          </cell>
          <cell r="FC2">
            <v>0.57515800000000006</v>
          </cell>
          <cell r="FD2">
            <v>1.0591700000000002</v>
          </cell>
          <cell r="FE2">
            <v>0.96183999999999992</v>
          </cell>
          <cell r="FF2">
            <v>1.6172099999999998</v>
          </cell>
          <cell r="FG2">
            <v>3.7916799999999999</v>
          </cell>
          <cell r="FH2">
            <v>3.4157199999999999</v>
          </cell>
          <cell r="FI2">
            <v>2.3509199999999999</v>
          </cell>
          <cell r="FJ2">
            <v>3.8958100000000004</v>
          </cell>
          <cell r="FK2">
            <v>4.3189700000000002</v>
          </cell>
          <cell r="FL2">
            <v>4.6841499999999998</v>
          </cell>
          <cell r="FM2">
            <v>12.648091600000001</v>
          </cell>
          <cell r="FN2">
            <v>10.5936462</v>
          </cell>
          <cell r="FO2">
            <v>2.6655899999999999</v>
          </cell>
          <cell r="FP2">
            <v>2.1155400000000002</v>
          </cell>
          <cell r="FQ2">
            <v>2.5295000000000001</v>
          </cell>
          <cell r="FR2">
            <v>3.5668100000000003</v>
          </cell>
          <cell r="FS2">
            <v>10.1304538</v>
          </cell>
          <cell r="FT2">
            <v>16.2115714</v>
          </cell>
          <cell r="FU2">
            <v>0.23774299999999998</v>
          </cell>
          <cell r="FV2">
            <v>1.26806</v>
          </cell>
          <cell r="FW2">
            <v>0.61267300000000002</v>
          </cell>
          <cell r="FX2">
            <v>1.5580099999999999</v>
          </cell>
          <cell r="FY2">
            <v>3.0086200000000001</v>
          </cell>
          <cell r="FZ2">
            <v>4.7959500000000004</v>
          </cell>
          <cell r="GA2">
            <v>0.66288800000000003</v>
          </cell>
          <cell r="GB2">
            <v>9.8945999999999992E-2</v>
          </cell>
          <cell r="GC2">
            <v>5.3297399999999995E-2</v>
          </cell>
          <cell r="GD2">
            <v>5.4181800000000002E-2</v>
          </cell>
          <cell r="GE2">
            <v>0.272096</v>
          </cell>
          <cell r="GF2">
            <v>0.38780599999999998</v>
          </cell>
          <cell r="GG2">
            <v>1.4855500000000001</v>
          </cell>
          <cell r="GH2">
            <v>1.26302</v>
          </cell>
          <cell r="GI2">
            <v>1.7259599999999999</v>
          </cell>
          <cell r="GJ2">
            <v>3.6835300000000002</v>
          </cell>
          <cell r="GK2">
            <v>2.91221</v>
          </cell>
          <cell r="GL2">
            <v>0.21976500000000002</v>
          </cell>
          <cell r="GM2">
            <v>0.45171300000000003</v>
          </cell>
          <cell r="GN2">
            <v>1.1173999999999999</v>
          </cell>
          <cell r="GO2">
            <v>3.7236900000000004</v>
          </cell>
          <cell r="GP2">
            <v>15.1371214</v>
          </cell>
          <cell r="GQ2">
            <v>17.773367499999999</v>
          </cell>
          <cell r="GR2">
            <v>0.12206800000000001</v>
          </cell>
          <cell r="GS2">
            <v>5.5714100000000003E-2</v>
          </cell>
          <cell r="GT2">
            <v>0.12919700000000001</v>
          </cell>
          <cell r="GU2">
            <v>0.72039299999999995</v>
          </cell>
          <cell r="GV2">
            <v>10.8402677</v>
          </cell>
          <cell r="GW2">
            <v>25.297579299999999</v>
          </cell>
          <cell r="GX2">
            <v>2.7691299999999999E-2</v>
          </cell>
          <cell r="GY2">
            <v>2.9391600000000004E-2</v>
          </cell>
          <cell r="GZ2">
            <v>3.0669999999999996E-2</v>
          </cell>
          <cell r="HA2">
            <v>0.38364699999999996</v>
          </cell>
          <cell r="HB2">
            <v>4.7406199999999998</v>
          </cell>
          <cell r="HC2">
            <v>6.3338715000000008</v>
          </cell>
          <cell r="HD2">
            <v>0</v>
          </cell>
          <cell r="HE2">
            <v>0.62897400000000003</v>
          </cell>
          <cell r="HF2">
            <v>0</v>
          </cell>
          <cell r="HG2">
            <v>0.10051800000000001</v>
          </cell>
          <cell r="HH2">
            <v>0.63963800000000004</v>
          </cell>
          <cell r="HI2">
            <v>0</v>
          </cell>
          <cell r="HJ2" t="str">
            <v>nd</v>
          </cell>
          <cell r="HK2">
            <v>1.68922E-2</v>
          </cell>
          <cell r="HL2">
            <v>0.9944400000000001</v>
          </cell>
          <cell r="HM2">
            <v>7.9006506999999999</v>
          </cell>
          <cell r="HN2">
            <v>2.5139100000000001</v>
          </cell>
          <cell r="HO2">
            <v>2.8371199999999999E-2</v>
          </cell>
          <cell r="HP2">
            <v>0</v>
          </cell>
          <cell r="HQ2">
            <v>0.110302</v>
          </cell>
          <cell r="HR2">
            <v>3.7854999999999999</v>
          </cell>
          <cell r="HS2">
            <v>28.365236799999998</v>
          </cell>
          <cell r="HT2">
            <v>6.1344000000000003</v>
          </cell>
          <cell r="HU2" t="str">
            <v>nd</v>
          </cell>
          <cell r="HV2" t="str">
            <v>nd</v>
          </cell>
          <cell r="HW2">
            <v>0.190274</v>
          </cell>
          <cell r="HX2">
            <v>2.67597</v>
          </cell>
          <cell r="HY2">
            <v>25.359447299999999</v>
          </cell>
          <cell r="HZ2">
            <v>8.9472149000000005</v>
          </cell>
          <cell r="IA2">
            <v>0</v>
          </cell>
          <cell r="IB2">
            <v>2.34656E-2</v>
          </cell>
          <cell r="IC2">
            <v>6.7989000000000008E-2</v>
          </cell>
          <cell r="ID2">
            <v>1.2534000000000001</v>
          </cell>
          <cell r="IE2">
            <v>8.3501151</v>
          </cell>
          <cell r="IF2">
            <v>1.8866500000000002</v>
          </cell>
          <cell r="IG2">
            <v>2.7984100000000001E-2</v>
          </cell>
          <cell r="IH2">
            <v>0.36698999999999998</v>
          </cell>
          <cell r="II2">
            <v>3.4191699999999998E-2</v>
          </cell>
          <cell r="IJ2">
            <v>0.20236599999999999</v>
          </cell>
          <cell r="IK2">
            <v>0.72995699999999997</v>
          </cell>
          <cell r="IL2">
            <v>3.4194999999999996E-2</v>
          </cell>
          <cell r="IM2">
            <v>5.2710300000000002E-2</v>
          </cell>
          <cell r="IN2">
            <v>0.21638400000000002</v>
          </cell>
          <cell r="IO2">
            <v>2.6598299999999999</v>
          </cell>
          <cell r="IP2">
            <v>5.4359799999999998</v>
          </cell>
          <cell r="IQ2">
            <v>2.8809800000000001</v>
          </cell>
          <cell r="IR2">
            <v>5.4646299999999995E-2</v>
          </cell>
          <cell r="IS2">
            <v>9.5192100000000002E-2</v>
          </cell>
          <cell r="IT2">
            <v>0.84179000000000004</v>
          </cell>
          <cell r="IU2">
            <v>4.7660800000000005</v>
          </cell>
          <cell r="IV2">
            <v>25.432859300000001</v>
          </cell>
          <cell r="IW2">
            <v>7.3806153999999999</v>
          </cell>
          <cell r="IX2">
            <v>3.64547E-2</v>
          </cell>
          <cell r="IY2">
            <v>7.0354700000000006E-2</v>
          </cell>
          <cell r="IZ2">
            <v>0.28825699999999999</v>
          </cell>
          <cell r="JA2">
            <v>3.9911099999999999</v>
          </cell>
          <cell r="JB2">
            <v>22.7346936</v>
          </cell>
          <cell r="JC2">
            <v>10.1416003</v>
          </cell>
          <cell r="JD2" t="str">
            <v>nd</v>
          </cell>
          <cell r="JE2" t="str">
            <v>nd</v>
          </cell>
          <cell r="JF2">
            <v>6.431110000000001E-2</v>
          </cell>
          <cell r="JG2">
            <v>1.28399</v>
          </cell>
          <cell r="JH2">
            <v>7.522303</v>
          </cell>
          <cell r="JI2">
            <v>2.6356700000000002</v>
          </cell>
          <cell r="JJ2">
            <v>0</v>
          </cell>
          <cell r="JK2">
            <v>7.0042099999999996E-2</v>
          </cell>
          <cell r="JL2">
            <v>0</v>
          </cell>
          <cell r="JM2">
            <v>0</v>
          </cell>
          <cell r="JN2">
            <v>1.2963499999999999</v>
          </cell>
          <cell r="JO2">
            <v>0</v>
          </cell>
          <cell r="JP2">
            <v>0</v>
          </cell>
          <cell r="JQ2" t="str">
            <v>nd</v>
          </cell>
          <cell r="JR2">
            <v>0.18135000000000001</v>
          </cell>
          <cell r="JS2">
            <v>0.72753999999999996</v>
          </cell>
          <cell r="JT2">
            <v>10.418708199999999</v>
          </cell>
          <cell r="JU2">
            <v>0</v>
          </cell>
          <cell r="JV2">
            <v>0</v>
          </cell>
          <cell r="JW2" t="str">
            <v>nd</v>
          </cell>
          <cell r="JX2">
            <v>6.4408300000000002E-2</v>
          </cell>
          <cell r="JY2">
            <v>1.16134</v>
          </cell>
          <cell r="JZ2">
            <v>37.294521800000005</v>
          </cell>
          <cell r="KA2">
            <v>0</v>
          </cell>
          <cell r="KB2">
            <v>0</v>
          </cell>
          <cell r="KC2">
            <v>0</v>
          </cell>
          <cell r="KD2">
            <v>1.8227799999999999E-2</v>
          </cell>
          <cell r="KE2">
            <v>0.43117399999999995</v>
          </cell>
          <cell r="KF2">
            <v>36.806141099999998</v>
          </cell>
          <cell r="KG2">
            <v>0</v>
          </cell>
          <cell r="KH2">
            <v>0</v>
          </cell>
          <cell r="KI2">
            <v>0</v>
          </cell>
          <cell r="KJ2">
            <v>0</v>
          </cell>
          <cell r="KK2">
            <v>0.110678</v>
          </cell>
          <cell r="KL2">
            <v>11.409693299999999</v>
          </cell>
          <cell r="KM2">
            <v>64.2</v>
          </cell>
          <cell r="KN2">
            <v>16.600000000000001</v>
          </cell>
          <cell r="KO2">
            <v>6.8000000000000007</v>
          </cell>
          <cell r="KP2">
            <v>5.8000000000000007</v>
          </cell>
          <cell r="KQ2">
            <v>6.5</v>
          </cell>
          <cell r="KR2">
            <v>0.2</v>
          </cell>
          <cell r="KS2">
            <v>63</v>
          </cell>
          <cell r="KT2">
            <v>16.600000000000001</v>
          </cell>
          <cell r="KU2">
            <v>6.9</v>
          </cell>
          <cell r="KV2">
            <v>6.2</v>
          </cell>
          <cell r="KW2">
            <v>7.1</v>
          </cell>
          <cell r="KX2">
            <v>0.2</v>
          </cell>
          <cell r="KY2"/>
          <cell r="KZ2"/>
          <cell r="LA2"/>
          <cell r="LB2"/>
          <cell r="LC2"/>
          <cell r="LD2"/>
          <cell r="LE2"/>
          <cell r="LF2"/>
          <cell r="LG2"/>
          <cell r="LH2"/>
          <cell r="LI2"/>
          <cell r="LJ2"/>
          <cell r="LK2"/>
          <cell r="LL2"/>
          <cell r="LM2"/>
          <cell r="LN2"/>
          <cell r="LO2"/>
        </row>
        <row r="3">
          <cell r="A3" t="str">
            <v>1Ens</v>
          </cell>
          <cell r="B3" t="str">
            <v>3</v>
          </cell>
          <cell r="C3" t="str">
            <v>Ensemble</v>
          </cell>
          <cell r="D3" t="str">
            <v/>
          </cell>
          <cell r="E3" t="str">
            <v>1</v>
          </cell>
          <cell r="F3">
            <v>3</v>
          </cell>
          <cell r="G3">
            <v>14.299999999999999</v>
          </cell>
          <cell r="H3">
            <v>29.299999999999997</v>
          </cell>
          <cell r="I3">
            <v>42.699999999999996</v>
          </cell>
          <cell r="J3">
            <v>10.6</v>
          </cell>
          <cell r="K3">
            <v>57.999999999999993</v>
          </cell>
          <cell r="L3">
            <v>28.299999999999997</v>
          </cell>
          <cell r="M3">
            <v>8.5</v>
          </cell>
          <cell r="N3">
            <v>5.2</v>
          </cell>
          <cell r="O3">
            <v>29.4</v>
          </cell>
          <cell r="P3">
            <v>26.3</v>
          </cell>
          <cell r="Q3">
            <v>17.5</v>
          </cell>
          <cell r="R3">
            <v>6.8000000000000007</v>
          </cell>
          <cell r="S3">
            <v>10.9</v>
          </cell>
          <cell r="T3">
            <v>32.9</v>
          </cell>
          <cell r="U3">
            <v>10.7</v>
          </cell>
          <cell r="V3">
            <v>21</v>
          </cell>
          <cell r="W3">
            <v>10.6</v>
          </cell>
          <cell r="X3">
            <v>85.6</v>
          </cell>
          <cell r="Y3">
            <v>3.9</v>
          </cell>
          <cell r="Z3">
            <v>3.1</v>
          </cell>
          <cell r="AA3">
            <v>33.700000000000003</v>
          </cell>
          <cell r="AB3">
            <v>12.2</v>
          </cell>
          <cell r="AC3">
            <v>50</v>
          </cell>
          <cell r="AD3">
            <v>24.5</v>
          </cell>
          <cell r="AE3">
            <v>41.8</v>
          </cell>
          <cell r="AF3">
            <v>58.199999999999996</v>
          </cell>
          <cell r="AG3">
            <v>32.1</v>
          </cell>
          <cell r="AH3">
            <v>67.900000000000006</v>
          </cell>
          <cell r="AI3">
            <v>48.8</v>
          </cell>
          <cell r="AJ3">
            <v>18</v>
          </cell>
          <cell r="AK3">
            <v>4.1000000000000005</v>
          </cell>
          <cell r="AL3">
            <v>20.9</v>
          </cell>
          <cell r="AM3">
            <v>8.2000000000000011</v>
          </cell>
          <cell r="AN3">
            <v>3.4000000000000004</v>
          </cell>
          <cell r="AO3">
            <v>1.2</v>
          </cell>
          <cell r="AP3">
            <v>2.4</v>
          </cell>
          <cell r="AQ3">
            <v>89.4</v>
          </cell>
          <cell r="AR3">
            <v>3.5999999999999996</v>
          </cell>
          <cell r="AS3">
            <v>70.5</v>
          </cell>
          <cell r="AT3">
            <v>8.2000000000000011</v>
          </cell>
          <cell r="AU3">
            <v>4.5999999999999996</v>
          </cell>
          <cell r="AV3">
            <v>4</v>
          </cell>
          <cell r="AW3">
            <v>3.5000000000000004</v>
          </cell>
          <cell r="AX3">
            <v>9.3000000000000007</v>
          </cell>
          <cell r="AY3">
            <v>3.9</v>
          </cell>
          <cell r="AZ3">
            <v>3.1</v>
          </cell>
          <cell r="BA3">
            <v>3.1</v>
          </cell>
          <cell r="BB3">
            <v>5.3</v>
          </cell>
          <cell r="BC3">
            <v>14.2</v>
          </cell>
          <cell r="BD3">
            <v>70.399999999999991</v>
          </cell>
          <cell r="BE3">
            <v>3.4000000000000004</v>
          </cell>
          <cell r="BF3">
            <v>2.1</v>
          </cell>
          <cell r="BG3">
            <v>2.6</v>
          </cell>
          <cell r="BH3">
            <v>5.5</v>
          </cell>
          <cell r="BI3">
            <v>14.6</v>
          </cell>
          <cell r="BJ3">
            <v>71.8</v>
          </cell>
          <cell r="BK3">
            <v>0</v>
          </cell>
          <cell r="BL3" t="str">
            <v>nd</v>
          </cell>
          <cell r="BM3">
            <v>0.3</v>
          </cell>
          <cell r="BN3">
            <v>3.5999999999999996</v>
          </cell>
          <cell r="BO3">
            <v>34.9</v>
          </cell>
          <cell r="BP3">
            <v>61.1</v>
          </cell>
          <cell r="BQ3">
            <v>0.2</v>
          </cell>
          <cell r="BR3">
            <v>0.4</v>
          </cell>
          <cell r="BS3">
            <v>1.0999999999999999</v>
          </cell>
          <cell r="BT3">
            <v>6.8000000000000007</v>
          </cell>
          <cell r="BU3">
            <v>30.4</v>
          </cell>
          <cell r="BV3">
            <v>61.199999999999996</v>
          </cell>
          <cell r="BW3">
            <v>0</v>
          </cell>
          <cell r="BX3">
            <v>0</v>
          </cell>
          <cell r="BY3" t="str">
            <v>nd</v>
          </cell>
          <cell r="BZ3">
            <v>0.1</v>
          </cell>
          <cell r="CA3">
            <v>1.0999999999999999</v>
          </cell>
          <cell r="CB3">
            <v>98.8</v>
          </cell>
          <cell r="CC3">
            <v>11.899999999999999</v>
          </cell>
          <cell r="CD3">
            <v>5.4</v>
          </cell>
          <cell r="CE3">
            <v>0.8</v>
          </cell>
          <cell r="CF3">
            <v>1.9</v>
          </cell>
          <cell r="CG3">
            <v>0.3</v>
          </cell>
          <cell r="CH3">
            <v>17.399999999999999</v>
          </cell>
          <cell r="CI3">
            <v>9.5</v>
          </cell>
          <cell r="CJ3">
            <v>69.199999999999989</v>
          </cell>
          <cell r="CK3">
            <v>19.900000000000002</v>
          </cell>
          <cell r="CL3">
            <v>1.5</v>
          </cell>
          <cell r="CM3">
            <v>1.3</v>
          </cell>
          <cell r="CN3">
            <v>0.8</v>
          </cell>
          <cell r="CO3">
            <v>79</v>
          </cell>
          <cell r="CP3">
            <v>22.3</v>
          </cell>
          <cell r="CQ3">
            <v>29.2</v>
          </cell>
          <cell r="CR3">
            <v>16.2</v>
          </cell>
          <cell r="CS3">
            <v>32.4</v>
          </cell>
          <cell r="CT3">
            <v>19.5</v>
          </cell>
          <cell r="CU3">
            <v>80.5</v>
          </cell>
          <cell r="CV3">
            <v>16.8</v>
          </cell>
          <cell r="CW3">
            <v>83.2</v>
          </cell>
          <cell r="CX3">
            <v>18.600000000000001</v>
          </cell>
          <cell r="CY3">
            <v>26.200000000000003</v>
          </cell>
          <cell r="CZ3">
            <v>55.300000000000004</v>
          </cell>
          <cell r="DA3">
            <v>23.5</v>
          </cell>
          <cell r="DB3">
            <v>12.4</v>
          </cell>
          <cell r="DC3">
            <v>17.599999999999998</v>
          </cell>
          <cell r="DD3">
            <v>1.2</v>
          </cell>
          <cell r="DE3">
            <v>58.199999999999996</v>
          </cell>
          <cell r="DF3">
            <v>20.8</v>
          </cell>
          <cell r="DG3">
            <v>7.5</v>
          </cell>
          <cell r="DH3">
            <v>15.7</v>
          </cell>
          <cell r="DI3">
            <v>13</v>
          </cell>
          <cell r="DJ3">
            <v>18.5</v>
          </cell>
          <cell r="DK3">
            <v>24.6</v>
          </cell>
          <cell r="DL3">
            <v>25.6</v>
          </cell>
          <cell r="DM3">
            <v>36.1</v>
          </cell>
          <cell r="DN3">
            <v>5.8999999999999995</v>
          </cell>
          <cell r="DO3">
            <v>24.7</v>
          </cell>
          <cell r="DP3">
            <v>4.5</v>
          </cell>
          <cell r="DQ3">
            <v>0.4</v>
          </cell>
          <cell r="DR3">
            <v>11.799999999999999</v>
          </cell>
          <cell r="DS3">
            <v>7.5</v>
          </cell>
          <cell r="DT3">
            <v>19.5</v>
          </cell>
          <cell r="DU3">
            <v>0.38061100000000003</v>
          </cell>
          <cell r="DV3">
            <v>0.31910900000000003</v>
          </cell>
          <cell r="DW3" t="str">
            <v>nd</v>
          </cell>
          <cell r="DX3" t="str">
            <v>nd</v>
          </cell>
          <cell r="DY3">
            <v>1.66282</v>
          </cell>
          <cell r="DZ3">
            <v>7.0819086000000002</v>
          </cell>
          <cell r="EA3">
            <v>2.34911</v>
          </cell>
          <cell r="EB3">
            <v>1.18458</v>
          </cell>
          <cell r="EC3">
            <v>1.5148600000000001</v>
          </cell>
          <cell r="ED3">
            <v>0.95645000000000002</v>
          </cell>
          <cell r="EE3">
            <v>1.2111399999999999</v>
          </cell>
          <cell r="EF3">
            <v>19.713059099999999</v>
          </cell>
          <cell r="EG3">
            <v>3.3087800000000001</v>
          </cell>
          <cell r="EH3">
            <v>1.83283</v>
          </cell>
          <cell r="EI3">
            <v>1.3789600000000002</v>
          </cell>
          <cell r="EJ3">
            <v>1.0833699999999999</v>
          </cell>
          <cell r="EK3">
            <v>2.1323799999999999</v>
          </cell>
          <cell r="EL3">
            <v>34.140073000000001</v>
          </cell>
          <cell r="EM3">
            <v>1.7329699999999999</v>
          </cell>
          <cell r="EN3">
            <v>1.28982</v>
          </cell>
          <cell r="EO3">
            <v>0.91899000000000008</v>
          </cell>
          <cell r="EP3">
            <v>1.0584800000000001</v>
          </cell>
          <cell r="EQ3">
            <v>3.6009100000000003</v>
          </cell>
          <cell r="ER3">
            <v>9.1628329999999991</v>
          </cell>
          <cell r="ES3">
            <v>0.58218300000000001</v>
          </cell>
          <cell r="ET3">
            <v>0.15901499999999999</v>
          </cell>
          <cell r="EU3">
            <v>8.2966600000000001E-2</v>
          </cell>
          <cell r="EV3" t="str">
            <v>nd</v>
          </cell>
          <cell r="EW3">
            <v>0.66685700000000003</v>
          </cell>
          <cell r="EX3">
            <v>8.6337299999999992E-2</v>
          </cell>
          <cell r="EY3">
            <v>0.46292299999999997</v>
          </cell>
          <cell r="EZ3" t="str">
            <v>nd</v>
          </cell>
          <cell r="FA3" t="str">
            <v>nd</v>
          </cell>
          <cell r="FB3">
            <v>2.3226900000000001</v>
          </cell>
          <cell r="FC3">
            <v>0.58121</v>
          </cell>
          <cell r="FD3">
            <v>0.76061899999999993</v>
          </cell>
          <cell r="FE3">
            <v>0.37260399999999999</v>
          </cell>
          <cell r="FF3">
            <v>0.99977000000000005</v>
          </cell>
          <cell r="FG3">
            <v>2.1422599999999998</v>
          </cell>
          <cell r="FH3">
            <v>9.715110300000001</v>
          </cell>
          <cell r="FI3">
            <v>1.65934</v>
          </cell>
          <cell r="FJ3">
            <v>0.99965999999999999</v>
          </cell>
          <cell r="FK3">
            <v>1.3067900000000001</v>
          </cell>
          <cell r="FL3">
            <v>1.9748100000000002</v>
          </cell>
          <cell r="FM3">
            <v>5.1222799999999999</v>
          </cell>
          <cell r="FN3">
            <v>18.081499900000001</v>
          </cell>
          <cell r="FO3">
            <v>1.494</v>
          </cell>
          <cell r="FP3">
            <v>1.1390199999999999</v>
          </cell>
          <cell r="FQ3">
            <v>1.0718099999999999</v>
          </cell>
          <cell r="FR3">
            <v>1.9718300000000002</v>
          </cell>
          <cell r="FS3">
            <v>4.8559400000000004</v>
          </cell>
          <cell r="FT3">
            <v>33.3171015</v>
          </cell>
          <cell r="FU3" t="str">
            <v>nd</v>
          </cell>
          <cell r="FV3">
            <v>0.11143500000000001</v>
          </cell>
          <cell r="FW3">
            <v>0.24778899999999998</v>
          </cell>
          <cell r="FX3">
            <v>0.37502999999999997</v>
          </cell>
          <cell r="FY3">
            <v>1.6153199999999999</v>
          </cell>
          <cell r="FZ3">
            <v>6.9643731000000004</v>
          </cell>
          <cell r="GA3">
            <v>1.7447399999999997</v>
          </cell>
          <cell r="GB3">
            <v>0.21773299999999998</v>
          </cell>
          <cell r="GC3">
            <v>5.9319400000000001E-2</v>
          </cell>
          <cell r="GD3">
            <v>0.12470199999999999</v>
          </cell>
          <cell r="GE3">
            <v>0.73361100000000001</v>
          </cell>
          <cell r="GF3">
            <v>0.78108</v>
          </cell>
          <cell r="GG3">
            <v>1.0860399999999999</v>
          </cell>
          <cell r="GH3">
            <v>1.0748199999999999</v>
          </cell>
          <cell r="GI3">
            <v>2.13774</v>
          </cell>
          <cell r="GJ3">
            <v>3.40557</v>
          </cell>
          <cell r="GK3">
            <v>6.1284299999999998</v>
          </cell>
          <cell r="GL3">
            <v>0.28447800000000001</v>
          </cell>
          <cell r="GM3">
            <v>0.59890100000000002</v>
          </cell>
          <cell r="GN3">
            <v>1.0710199999999999</v>
          </cell>
          <cell r="GO3">
            <v>1.9698</v>
          </cell>
          <cell r="GP3">
            <v>6.1486600000000005</v>
          </cell>
          <cell r="GQ3">
            <v>19.0235387</v>
          </cell>
          <cell r="GR3">
            <v>0.540022</v>
          </cell>
          <cell r="GS3" t="str">
            <v>nd</v>
          </cell>
          <cell r="GT3">
            <v>0.363367</v>
          </cell>
          <cell r="GU3">
            <v>0.92913000000000001</v>
          </cell>
          <cell r="GV3">
            <v>3.7110700000000003</v>
          </cell>
          <cell r="GW3">
            <v>38.016096900000001</v>
          </cell>
          <cell r="GX3">
            <v>0</v>
          </cell>
          <cell r="GY3">
            <v>0</v>
          </cell>
          <cell r="GZ3">
            <v>0</v>
          </cell>
          <cell r="HA3">
            <v>0.38557000000000002</v>
          </cell>
          <cell r="HB3">
            <v>1.1044699999999998</v>
          </cell>
          <cell r="HC3">
            <v>7.8991016999999992</v>
          </cell>
          <cell r="HD3">
            <v>0</v>
          </cell>
          <cell r="HE3">
            <v>0.75036400000000003</v>
          </cell>
          <cell r="HF3">
            <v>0</v>
          </cell>
          <cell r="HG3" t="str">
            <v>nd</v>
          </cell>
          <cell r="HH3">
            <v>2.2362000000000002</v>
          </cell>
          <cell r="HI3">
            <v>0</v>
          </cell>
          <cell r="HJ3">
            <v>0</v>
          </cell>
          <cell r="HK3" t="str">
            <v>nd</v>
          </cell>
          <cell r="HL3">
            <v>0.49194100000000002</v>
          </cell>
          <cell r="HM3">
            <v>5.3221499999999997</v>
          </cell>
          <cell r="HN3">
            <v>8.346544999999999</v>
          </cell>
          <cell r="HO3">
            <v>0</v>
          </cell>
          <cell r="HP3">
            <v>0</v>
          </cell>
          <cell r="HQ3" t="str">
            <v>nd</v>
          </cell>
          <cell r="HR3">
            <v>0.92777999999999994</v>
          </cell>
          <cell r="HS3">
            <v>11.2350488</v>
          </cell>
          <cell r="HT3">
            <v>17.1547938</v>
          </cell>
          <cell r="HU3">
            <v>0</v>
          </cell>
          <cell r="HV3" t="str">
            <v>nd</v>
          </cell>
          <cell r="HW3" t="str">
            <v>nd</v>
          </cell>
          <cell r="HX3">
            <v>1.8180700000000001</v>
          </cell>
          <cell r="HY3">
            <v>13.850654</v>
          </cell>
          <cell r="HZ3">
            <v>27.560078599999997</v>
          </cell>
          <cell r="IA3">
            <v>0</v>
          </cell>
          <cell r="IB3">
            <v>0</v>
          </cell>
          <cell r="IC3" t="str">
            <v>nd</v>
          </cell>
          <cell r="ID3">
            <v>0.38047599999999998</v>
          </cell>
          <cell r="IE3">
            <v>3.9036599999999999</v>
          </cell>
          <cell r="IF3">
            <v>5.6149200000000006</v>
          </cell>
          <cell r="IG3" t="str">
            <v>nd</v>
          </cell>
          <cell r="IH3">
            <v>0.39856500000000006</v>
          </cell>
          <cell r="II3">
            <v>0</v>
          </cell>
          <cell r="IJ3" t="str">
            <v>nd</v>
          </cell>
          <cell r="IK3">
            <v>2.4748000000000001</v>
          </cell>
          <cell r="IL3">
            <v>0</v>
          </cell>
          <cell r="IM3">
            <v>0.117646</v>
          </cell>
          <cell r="IN3">
            <v>0.17854100000000001</v>
          </cell>
          <cell r="IO3">
            <v>1.3182100000000001</v>
          </cell>
          <cell r="IP3">
            <v>3.8080799999999999</v>
          </cell>
          <cell r="IQ3">
            <v>8.8467769000000001</v>
          </cell>
          <cell r="IR3">
            <v>0</v>
          </cell>
          <cell r="IS3" t="str">
            <v>nd</v>
          </cell>
          <cell r="IT3">
            <v>0.32243300000000003</v>
          </cell>
          <cell r="IU3">
            <v>2.4895499999999999</v>
          </cell>
          <cell r="IV3">
            <v>9.4577539000000002</v>
          </cell>
          <cell r="IW3">
            <v>17.007189799999999</v>
          </cell>
          <cell r="IX3" t="str">
            <v>nd</v>
          </cell>
          <cell r="IY3" t="str">
            <v>nd</v>
          </cell>
          <cell r="IZ3">
            <v>0.489008</v>
          </cell>
          <cell r="JA3">
            <v>2.4819100000000001</v>
          </cell>
          <cell r="JB3">
            <v>13.745227700000001</v>
          </cell>
          <cell r="JC3">
            <v>26.789831100000001</v>
          </cell>
          <cell r="JD3">
            <v>0</v>
          </cell>
          <cell r="JE3">
            <v>0</v>
          </cell>
          <cell r="JF3" t="str">
            <v>nd</v>
          </cell>
          <cell r="JG3">
            <v>0.49861899999999998</v>
          </cell>
          <cell r="JH3">
            <v>2.82681</v>
          </cell>
          <cell r="JI3">
            <v>6.1907800000000002</v>
          </cell>
          <cell r="JJ3">
            <v>0</v>
          </cell>
          <cell r="JK3">
            <v>0</v>
          </cell>
          <cell r="JL3">
            <v>0</v>
          </cell>
          <cell r="JM3">
            <v>0</v>
          </cell>
          <cell r="JN3">
            <v>2.9665400000000002</v>
          </cell>
          <cell r="JO3">
            <v>0</v>
          </cell>
          <cell r="JP3">
            <v>0</v>
          </cell>
          <cell r="JQ3" t="str">
            <v>nd</v>
          </cell>
          <cell r="JR3" t="str">
            <v>nd</v>
          </cell>
          <cell r="JS3">
            <v>0.191967</v>
          </cell>
          <cell r="JT3">
            <v>14.048904400000001</v>
          </cell>
          <cell r="JU3">
            <v>0</v>
          </cell>
          <cell r="JV3">
            <v>0</v>
          </cell>
          <cell r="JW3">
            <v>0</v>
          </cell>
          <cell r="JX3" t="str">
            <v>nd</v>
          </cell>
          <cell r="JY3">
            <v>0.43080799999999997</v>
          </cell>
          <cell r="JZ3">
            <v>28.415927200000002</v>
          </cell>
          <cell r="KA3">
            <v>0</v>
          </cell>
          <cell r="KB3">
            <v>0</v>
          </cell>
          <cell r="KC3">
            <v>0</v>
          </cell>
          <cell r="KD3" t="str">
            <v>nd</v>
          </cell>
          <cell r="KE3">
            <v>0.39341599999999999</v>
          </cell>
          <cell r="KF3">
            <v>43.688318899999999</v>
          </cell>
          <cell r="KG3">
            <v>0</v>
          </cell>
          <cell r="KH3">
            <v>0</v>
          </cell>
          <cell r="KI3">
            <v>0</v>
          </cell>
          <cell r="KJ3">
            <v>0</v>
          </cell>
          <cell r="KK3">
            <v>6.3030100000000006E-2</v>
          </cell>
          <cell r="KL3">
            <v>9.6196374999999996</v>
          </cell>
          <cell r="KM3">
            <v>75</v>
          </cell>
          <cell r="KN3">
            <v>9.1</v>
          </cell>
          <cell r="KO3">
            <v>7.8</v>
          </cell>
          <cell r="KP3">
            <v>3.5000000000000004</v>
          </cell>
          <cell r="KQ3">
            <v>4.5999999999999996</v>
          </cell>
          <cell r="KR3">
            <v>0.1</v>
          </cell>
          <cell r="KS3">
            <v>74.3</v>
          </cell>
          <cell r="KT3">
            <v>9.1</v>
          </cell>
          <cell r="KU3">
            <v>8.1</v>
          </cell>
          <cell r="KV3">
            <v>3.5999999999999996</v>
          </cell>
          <cell r="KW3">
            <v>4.9000000000000004</v>
          </cell>
          <cell r="KX3">
            <v>0.1</v>
          </cell>
          <cell r="KY3"/>
          <cell r="KZ3"/>
          <cell r="LA3"/>
          <cell r="LB3"/>
          <cell r="LC3"/>
          <cell r="LD3"/>
          <cell r="LE3"/>
          <cell r="LF3"/>
          <cell r="LG3"/>
          <cell r="LH3"/>
          <cell r="LI3"/>
          <cell r="LJ3"/>
          <cell r="LK3"/>
          <cell r="LL3"/>
          <cell r="LM3"/>
          <cell r="LN3"/>
          <cell r="LO3"/>
        </row>
        <row r="4">
          <cell r="A4" t="str">
            <v>2Ens</v>
          </cell>
          <cell r="B4" t="str">
            <v>4</v>
          </cell>
          <cell r="C4" t="str">
            <v>Ensemble</v>
          </cell>
          <cell r="D4" t="str">
            <v/>
          </cell>
          <cell r="E4" t="str">
            <v>2</v>
          </cell>
          <cell r="F4">
            <v>2.1</v>
          </cell>
          <cell r="G4">
            <v>11.700000000000001</v>
          </cell>
          <cell r="H4">
            <v>32.9</v>
          </cell>
          <cell r="I4">
            <v>41.6</v>
          </cell>
          <cell r="J4">
            <v>11.700000000000001</v>
          </cell>
          <cell r="K4">
            <v>62.4</v>
          </cell>
          <cell r="L4">
            <v>25.6</v>
          </cell>
          <cell r="M4">
            <v>7.0000000000000009</v>
          </cell>
          <cell r="N4">
            <v>5</v>
          </cell>
          <cell r="O4">
            <v>28.4</v>
          </cell>
          <cell r="P4">
            <v>27.800000000000004</v>
          </cell>
          <cell r="Q4">
            <v>15.299999999999999</v>
          </cell>
          <cell r="R4">
            <v>7.9</v>
          </cell>
          <cell r="S4">
            <v>13.700000000000001</v>
          </cell>
          <cell r="T4">
            <v>32.200000000000003</v>
          </cell>
          <cell r="U4">
            <v>8</v>
          </cell>
          <cell r="V4">
            <v>22.5</v>
          </cell>
          <cell r="W4">
            <v>13.3</v>
          </cell>
          <cell r="X4">
            <v>80.800000000000011</v>
          </cell>
          <cell r="Y4">
            <v>5.8000000000000007</v>
          </cell>
          <cell r="Z4">
            <v>7.1</v>
          </cell>
          <cell r="AA4">
            <v>40.5</v>
          </cell>
          <cell r="AB4">
            <v>9.5</v>
          </cell>
          <cell r="AC4">
            <v>50</v>
          </cell>
          <cell r="AD4">
            <v>23.799999999999997</v>
          </cell>
          <cell r="AE4">
            <v>52.300000000000004</v>
          </cell>
          <cell r="AF4">
            <v>47.699999999999996</v>
          </cell>
          <cell r="AG4">
            <v>48.6</v>
          </cell>
          <cell r="AH4">
            <v>51.4</v>
          </cell>
          <cell r="AI4">
            <v>44.4</v>
          </cell>
          <cell r="AJ4">
            <v>16.2</v>
          </cell>
          <cell r="AK4">
            <v>2.7</v>
          </cell>
          <cell r="AL4">
            <v>30.2</v>
          </cell>
          <cell r="AM4">
            <v>6.5</v>
          </cell>
          <cell r="AN4">
            <v>6</v>
          </cell>
          <cell r="AO4">
            <v>2.1</v>
          </cell>
          <cell r="AP4">
            <v>3.5000000000000004</v>
          </cell>
          <cell r="AQ4">
            <v>85</v>
          </cell>
          <cell r="AR4">
            <v>3.5000000000000004</v>
          </cell>
          <cell r="AS4">
            <v>67.900000000000006</v>
          </cell>
          <cell r="AT4">
            <v>10.9</v>
          </cell>
          <cell r="AU4">
            <v>5.0999999999999996</v>
          </cell>
          <cell r="AV4">
            <v>4.8</v>
          </cell>
          <cell r="AW4">
            <v>4.3</v>
          </cell>
          <cell r="AX4">
            <v>7.1</v>
          </cell>
          <cell r="AY4">
            <v>3.9</v>
          </cell>
          <cell r="AZ4">
            <v>4.3</v>
          </cell>
          <cell r="BA4">
            <v>3.8</v>
          </cell>
          <cell r="BB4">
            <v>5.8999999999999995</v>
          </cell>
          <cell r="BC4">
            <v>21.3</v>
          </cell>
          <cell r="BD4">
            <v>60.8</v>
          </cell>
          <cell r="BE4">
            <v>2.2999999999999998</v>
          </cell>
          <cell r="BF4">
            <v>1.7000000000000002</v>
          </cell>
          <cell r="BG4">
            <v>3</v>
          </cell>
          <cell r="BH4">
            <v>5.7</v>
          </cell>
          <cell r="BI4">
            <v>24.4</v>
          </cell>
          <cell r="BJ4">
            <v>62.9</v>
          </cell>
          <cell r="BK4" t="str">
            <v>nd</v>
          </cell>
          <cell r="BL4">
            <v>0.2</v>
          </cell>
          <cell r="BM4">
            <v>0.3</v>
          </cell>
          <cell r="BN4">
            <v>5</v>
          </cell>
          <cell r="BO4">
            <v>54</v>
          </cell>
          <cell r="BP4">
            <v>40.5</v>
          </cell>
          <cell r="BQ4">
            <v>0.4</v>
          </cell>
          <cell r="BR4">
            <v>0.2</v>
          </cell>
          <cell r="BS4">
            <v>1</v>
          </cell>
          <cell r="BT4">
            <v>8.2000000000000011</v>
          </cell>
          <cell r="BU4">
            <v>45.800000000000004</v>
          </cell>
          <cell r="BV4">
            <v>44.4</v>
          </cell>
          <cell r="BW4">
            <v>0</v>
          </cell>
          <cell r="BX4">
            <v>0</v>
          </cell>
          <cell r="BY4" t="str">
            <v>nd</v>
          </cell>
          <cell r="BZ4" t="str">
            <v>nd</v>
          </cell>
          <cell r="CA4">
            <v>1.3</v>
          </cell>
          <cell r="CB4">
            <v>98.7</v>
          </cell>
          <cell r="CC4">
            <v>15.299999999999999</v>
          </cell>
          <cell r="CD4">
            <v>8.5</v>
          </cell>
          <cell r="CE4">
            <v>0.8</v>
          </cell>
          <cell r="CF4">
            <v>2.1</v>
          </cell>
          <cell r="CG4">
            <v>0.1</v>
          </cell>
          <cell r="CH4">
            <v>18.399999999999999</v>
          </cell>
          <cell r="CI4">
            <v>8.6999999999999993</v>
          </cell>
          <cell r="CJ4">
            <v>64.2</v>
          </cell>
          <cell r="CK4">
            <v>27.700000000000003</v>
          </cell>
          <cell r="CL4">
            <v>2.5</v>
          </cell>
          <cell r="CM4">
            <v>2.6</v>
          </cell>
          <cell r="CN4">
            <v>1.9</v>
          </cell>
          <cell r="CO4">
            <v>71</v>
          </cell>
          <cell r="CP4">
            <v>21.099999999999998</v>
          </cell>
          <cell r="CQ4">
            <v>31</v>
          </cell>
          <cell r="CR4">
            <v>15.4</v>
          </cell>
          <cell r="CS4">
            <v>32.5</v>
          </cell>
          <cell r="CT4">
            <v>21.6</v>
          </cell>
          <cell r="CU4">
            <v>78.400000000000006</v>
          </cell>
          <cell r="CV4">
            <v>17.899999999999999</v>
          </cell>
          <cell r="CW4">
            <v>82.1</v>
          </cell>
          <cell r="CX4">
            <v>19.8</v>
          </cell>
          <cell r="CY4">
            <v>25.4</v>
          </cell>
          <cell r="CZ4">
            <v>54.800000000000004</v>
          </cell>
          <cell r="DA4">
            <v>30.9</v>
          </cell>
          <cell r="DB4">
            <v>9.9</v>
          </cell>
          <cell r="DC4">
            <v>11.600000000000001</v>
          </cell>
          <cell r="DD4">
            <v>1.0999999999999999</v>
          </cell>
          <cell r="DE4">
            <v>60.8</v>
          </cell>
          <cell r="DF4">
            <v>19.100000000000001</v>
          </cell>
          <cell r="DG4">
            <v>8.3000000000000007</v>
          </cell>
          <cell r="DH4">
            <v>18.099999999999998</v>
          </cell>
          <cell r="DI4">
            <v>13.5</v>
          </cell>
          <cell r="DJ4">
            <v>18.099999999999998</v>
          </cell>
          <cell r="DK4">
            <v>22.900000000000002</v>
          </cell>
          <cell r="DL4">
            <v>22.2</v>
          </cell>
          <cell r="DM4">
            <v>36.799999999999997</v>
          </cell>
          <cell r="DN4">
            <v>8.6</v>
          </cell>
          <cell r="DO4">
            <v>25.2</v>
          </cell>
          <cell r="DP4">
            <v>5.7</v>
          </cell>
          <cell r="DQ4">
            <v>0.8</v>
          </cell>
          <cell r="DR4">
            <v>8.5</v>
          </cell>
          <cell r="DS4">
            <v>12.6</v>
          </cell>
          <cell r="DT4">
            <v>20.5</v>
          </cell>
          <cell r="DU4">
            <v>0.30382700000000001</v>
          </cell>
          <cell r="DV4">
            <v>0.57078600000000002</v>
          </cell>
          <cell r="DW4">
            <v>0.12523499999999999</v>
          </cell>
          <cell r="DX4">
            <v>0.18688099999999999</v>
          </cell>
          <cell r="DY4">
            <v>0.71199299999999999</v>
          </cell>
          <cell r="DZ4">
            <v>4.3680200000000005</v>
          </cell>
          <cell r="EA4">
            <v>2.3960699999999999</v>
          </cell>
          <cell r="EB4">
            <v>2.17259</v>
          </cell>
          <cell r="EC4">
            <v>1.46485</v>
          </cell>
          <cell r="ED4">
            <v>0.90358999999999989</v>
          </cell>
          <cell r="EE4">
            <v>0.347055</v>
          </cell>
          <cell r="EF4">
            <v>20.577492199999998</v>
          </cell>
          <cell r="EG4">
            <v>5.1847799999999999</v>
          </cell>
          <cell r="EH4">
            <v>1.8508799999999999</v>
          </cell>
          <cell r="EI4">
            <v>1.8773000000000002</v>
          </cell>
          <cell r="EJ4">
            <v>1.5436099999999999</v>
          </cell>
          <cell r="EK4">
            <v>1.95584</v>
          </cell>
          <cell r="EL4">
            <v>33.202083799999997</v>
          </cell>
          <cell r="EM4">
            <v>2.5224600000000001</v>
          </cell>
          <cell r="EN4">
            <v>0.73025200000000001</v>
          </cell>
          <cell r="EO4">
            <v>1.01081</v>
          </cell>
          <cell r="EP4">
            <v>0.99790999999999996</v>
          </cell>
          <cell r="EQ4">
            <v>2.8954599999999999</v>
          </cell>
          <cell r="ER4">
            <v>9.380007599999999</v>
          </cell>
          <cell r="ES4">
            <v>0.76232199999999994</v>
          </cell>
          <cell r="ET4">
            <v>0.21926499999999999</v>
          </cell>
          <cell r="EU4">
            <v>0.31041099999999999</v>
          </cell>
          <cell r="EV4">
            <v>0.24645399999999998</v>
          </cell>
          <cell r="EW4">
            <v>1.1532900000000001</v>
          </cell>
          <cell r="EX4" t="str">
            <v>nd</v>
          </cell>
          <cell r="EY4">
            <v>0.62223399999999995</v>
          </cell>
          <cell r="EZ4" t="str">
            <v>nd</v>
          </cell>
          <cell r="FA4">
            <v>0.26345399999999997</v>
          </cell>
          <cell r="FB4">
            <v>1.1757599999999999</v>
          </cell>
          <cell r="FC4">
            <v>0.511818</v>
          </cell>
          <cell r="FD4">
            <v>0.72320600000000002</v>
          </cell>
          <cell r="FE4">
            <v>0.8684900000000001</v>
          </cell>
          <cell r="FF4">
            <v>0.77445300000000006</v>
          </cell>
          <cell r="FG4">
            <v>2.5632200000000003</v>
          </cell>
          <cell r="FH4">
            <v>6.0169300000000003</v>
          </cell>
          <cell r="FI4">
            <v>1.5101500000000001</v>
          </cell>
          <cell r="FJ4">
            <v>1.6799499999999998</v>
          </cell>
          <cell r="FK4">
            <v>1.5648200000000001</v>
          </cell>
          <cell r="FL4">
            <v>2.0065300000000001</v>
          </cell>
          <cell r="FM4">
            <v>7.4243123999999998</v>
          </cell>
          <cell r="FN4">
            <v>19.1633286</v>
          </cell>
          <cell r="FO4">
            <v>1.6844000000000001</v>
          </cell>
          <cell r="FP4">
            <v>1.3417300000000001</v>
          </cell>
          <cell r="FQ4">
            <v>1.09799</v>
          </cell>
          <cell r="FR4">
            <v>2.0299</v>
          </cell>
          <cell r="FS4">
            <v>7.8648248000000001</v>
          </cell>
          <cell r="FT4">
            <v>27.051447099999997</v>
          </cell>
          <cell r="FU4">
            <v>0.20405800000000002</v>
          </cell>
          <cell r="FV4">
            <v>0.45450100000000004</v>
          </cell>
          <cell r="FW4">
            <v>0.22598100000000002</v>
          </cell>
          <cell r="FX4">
            <v>0.89107999999999998</v>
          </cell>
          <cell r="FY4">
            <v>2.74221</v>
          </cell>
          <cell r="FZ4">
            <v>7.4033338000000004</v>
          </cell>
          <cell r="GA4">
            <v>1.1070800000000001</v>
          </cell>
          <cell r="GB4">
            <v>0.100523</v>
          </cell>
          <cell r="GC4">
            <v>0.18315799999999999</v>
          </cell>
          <cell r="GD4">
            <v>8.5330100000000006E-2</v>
          </cell>
          <cell r="GE4">
            <v>0.39320700000000003</v>
          </cell>
          <cell r="GF4">
            <v>0.49975799999999998</v>
          </cell>
          <cell r="GG4">
            <v>0.87849999999999995</v>
          </cell>
          <cell r="GH4">
            <v>1.9661899999999999</v>
          </cell>
          <cell r="GI4">
            <v>1.3911500000000001</v>
          </cell>
          <cell r="GJ4">
            <v>3.44693</v>
          </cell>
          <cell r="GK4">
            <v>3.6711899999999997</v>
          </cell>
          <cell r="GL4">
            <v>0.48926100000000006</v>
          </cell>
          <cell r="GM4">
            <v>0.20230000000000001</v>
          </cell>
          <cell r="GN4">
            <v>0.79961000000000004</v>
          </cell>
          <cell r="GO4">
            <v>3.3778299999999999</v>
          </cell>
          <cell r="GP4">
            <v>10.259650600000001</v>
          </cell>
          <cell r="GQ4">
            <v>18.0077298</v>
          </cell>
          <cell r="GR4">
            <v>0.17921100000000001</v>
          </cell>
          <cell r="GS4">
            <v>0.21804699999999999</v>
          </cell>
          <cell r="GT4" t="str">
            <v>nd</v>
          </cell>
          <cell r="GU4">
            <v>0.60065900000000005</v>
          </cell>
          <cell r="GV4">
            <v>7.7346662999999998</v>
          </cell>
          <cell r="GW4">
            <v>32.254752400000001</v>
          </cell>
          <cell r="GX4">
            <v>0</v>
          </cell>
          <cell r="GY4">
            <v>6.2632800000000002E-2</v>
          </cell>
          <cell r="GZ4">
            <v>0</v>
          </cell>
          <cell r="HA4">
            <v>0.23907899999999999</v>
          </cell>
          <cell r="HB4">
            <v>2.9307599999999998</v>
          </cell>
          <cell r="HC4">
            <v>8.5388149999999996</v>
          </cell>
          <cell r="HD4">
            <v>0</v>
          </cell>
          <cell r="HE4">
            <v>0.95469000000000004</v>
          </cell>
          <cell r="HF4">
            <v>0</v>
          </cell>
          <cell r="HG4" t="str">
            <v>nd</v>
          </cell>
          <cell r="HH4">
            <v>1.10137</v>
          </cell>
          <cell r="HI4">
            <v>0</v>
          </cell>
          <cell r="HJ4" t="str">
            <v>nd</v>
          </cell>
          <cell r="HK4" t="str">
            <v>nd</v>
          </cell>
          <cell r="HL4">
            <v>0.65642199999999995</v>
          </cell>
          <cell r="HM4">
            <v>5.4727900000000007</v>
          </cell>
          <cell r="HN4">
            <v>5.5037500000000001</v>
          </cell>
          <cell r="HO4" t="str">
            <v>nd</v>
          </cell>
          <cell r="HP4">
            <v>0</v>
          </cell>
          <cell r="HQ4">
            <v>0.16647200000000001</v>
          </cell>
          <cell r="HR4">
            <v>1.95058</v>
          </cell>
          <cell r="HS4">
            <v>17.930141599999999</v>
          </cell>
          <cell r="HT4">
            <v>12.8746872</v>
          </cell>
          <cell r="HU4" t="str">
            <v>nd</v>
          </cell>
          <cell r="HV4">
            <v>0</v>
          </cell>
          <cell r="HW4" t="str">
            <v>nd</v>
          </cell>
          <cell r="HX4">
            <v>1.7730300000000001</v>
          </cell>
          <cell r="HY4">
            <v>22.7288326</v>
          </cell>
          <cell r="HZ4">
            <v>16.662473200000001</v>
          </cell>
          <cell r="IA4">
            <v>0</v>
          </cell>
          <cell r="IB4" t="str">
            <v>nd</v>
          </cell>
          <cell r="IC4" t="str">
            <v>nd</v>
          </cell>
          <cell r="ID4">
            <v>0.62202599999999997</v>
          </cell>
          <cell r="IE4">
            <v>6.9283987000000007</v>
          </cell>
          <cell r="IF4">
            <v>4.2506599999999999</v>
          </cell>
          <cell r="IG4" t="str">
            <v>nd</v>
          </cell>
          <cell r="IH4">
            <v>0.38341799999999998</v>
          </cell>
          <cell r="II4" t="str">
            <v>nd</v>
          </cell>
          <cell r="IJ4">
            <v>0.26343699999999998</v>
          </cell>
          <cell r="IK4">
            <v>1.19424</v>
          </cell>
          <cell r="IL4">
            <v>0.21821499999999999</v>
          </cell>
          <cell r="IM4" t="str">
            <v>nd</v>
          </cell>
          <cell r="IN4" t="str">
            <v>nd</v>
          </cell>
          <cell r="IO4">
            <v>1.48793</v>
          </cell>
          <cell r="IP4">
            <v>4.8176800000000002</v>
          </cell>
          <cell r="IQ4">
            <v>5.0908799999999994</v>
          </cell>
          <cell r="IR4">
            <v>0</v>
          </cell>
          <cell r="IS4">
            <v>6.9967000000000001E-2</v>
          </cell>
          <cell r="IT4">
            <v>0.40607200000000004</v>
          </cell>
          <cell r="IU4">
            <v>2.53566</v>
          </cell>
          <cell r="IV4">
            <v>16.255549800000001</v>
          </cell>
          <cell r="IW4">
            <v>14.212076400000001</v>
          </cell>
          <cell r="IX4">
            <v>7.9724299999999998E-2</v>
          </cell>
          <cell r="IY4" t="str">
            <v>nd</v>
          </cell>
          <cell r="IZ4">
            <v>0.31481799999999999</v>
          </cell>
          <cell r="JA4">
            <v>2.6994000000000002</v>
          </cell>
          <cell r="JB4">
            <v>18.827793200000002</v>
          </cell>
          <cell r="JC4">
            <v>19.041230899999999</v>
          </cell>
          <cell r="JD4">
            <v>0</v>
          </cell>
          <cell r="JE4" t="str">
            <v>nd</v>
          </cell>
          <cell r="JF4" t="str">
            <v>nd</v>
          </cell>
          <cell r="JG4">
            <v>1.18943</v>
          </cell>
          <cell r="JH4">
            <v>5.5002700000000004</v>
          </cell>
          <cell r="JI4">
            <v>4.9266200000000007</v>
          </cell>
          <cell r="JJ4">
            <v>0</v>
          </cell>
          <cell r="JK4">
            <v>0</v>
          </cell>
          <cell r="JL4">
            <v>0</v>
          </cell>
          <cell r="JM4">
            <v>0</v>
          </cell>
          <cell r="JN4">
            <v>2.0392399999999999</v>
          </cell>
          <cell r="JO4">
            <v>0</v>
          </cell>
          <cell r="JP4">
            <v>0</v>
          </cell>
          <cell r="JQ4">
            <v>0</v>
          </cell>
          <cell r="JR4">
            <v>0</v>
          </cell>
          <cell r="JS4">
            <v>0.11798</v>
          </cell>
          <cell r="JT4">
            <v>11.397823300000001</v>
          </cell>
          <cell r="JU4">
            <v>0</v>
          </cell>
          <cell r="JV4">
            <v>0</v>
          </cell>
          <cell r="JW4" t="str">
            <v>nd</v>
          </cell>
          <cell r="JX4">
            <v>0</v>
          </cell>
          <cell r="JY4">
            <v>0.545929</v>
          </cell>
          <cell r="JZ4">
            <v>32.996657800000001</v>
          </cell>
          <cell r="KA4">
            <v>0</v>
          </cell>
          <cell r="KB4">
            <v>0</v>
          </cell>
          <cell r="KC4">
            <v>0</v>
          </cell>
          <cell r="KD4" t="str">
            <v>nd</v>
          </cell>
          <cell r="KE4">
            <v>0.53246199999999999</v>
          </cell>
          <cell r="KF4">
            <v>40.503144400000004</v>
          </cell>
          <cell r="KG4">
            <v>0</v>
          </cell>
          <cell r="KH4">
            <v>0</v>
          </cell>
          <cell r="KI4">
            <v>0</v>
          </cell>
          <cell r="KJ4">
            <v>0</v>
          </cell>
          <cell r="KK4" t="str">
            <v>nd</v>
          </cell>
          <cell r="KL4">
            <v>11.7253305</v>
          </cell>
          <cell r="KM4">
            <v>71.899999999999991</v>
          </cell>
          <cell r="KN4">
            <v>10.100000000000001</v>
          </cell>
          <cell r="KO4">
            <v>7.1999999999999993</v>
          </cell>
          <cell r="KP4">
            <v>5.0999999999999996</v>
          </cell>
          <cell r="KQ4">
            <v>5.7</v>
          </cell>
          <cell r="KR4">
            <v>0.1</v>
          </cell>
          <cell r="KS4">
            <v>71.099999999999994</v>
          </cell>
          <cell r="KT4">
            <v>10.100000000000001</v>
          </cell>
          <cell r="KU4">
            <v>7.3</v>
          </cell>
          <cell r="KV4">
            <v>5.3</v>
          </cell>
          <cell r="KW4">
            <v>6.1</v>
          </cell>
          <cell r="KX4">
            <v>0.1</v>
          </cell>
          <cell r="KY4"/>
          <cell r="KZ4"/>
          <cell r="LA4"/>
          <cell r="LB4"/>
          <cell r="LC4"/>
          <cell r="LD4"/>
          <cell r="LE4"/>
          <cell r="LF4"/>
          <cell r="LG4"/>
          <cell r="LH4"/>
          <cell r="LI4"/>
          <cell r="LJ4"/>
          <cell r="LK4"/>
          <cell r="LL4"/>
          <cell r="LM4"/>
          <cell r="LN4"/>
          <cell r="LO4"/>
        </row>
        <row r="5">
          <cell r="A5" t="str">
            <v>3Ens</v>
          </cell>
          <cell r="B5" t="str">
            <v>5</v>
          </cell>
          <cell r="C5" t="str">
            <v>Ensemble</v>
          </cell>
          <cell r="D5" t="str">
            <v/>
          </cell>
          <cell r="E5" t="str">
            <v>3</v>
          </cell>
          <cell r="F5">
            <v>1.7000000000000002</v>
          </cell>
          <cell r="G5">
            <v>9.9</v>
          </cell>
          <cell r="H5">
            <v>32.9</v>
          </cell>
          <cell r="I5">
            <v>44.9</v>
          </cell>
          <cell r="J5">
            <v>10.7</v>
          </cell>
          <cell r="K5">
            <v>62.8</v>
          </cell>
          <cell r="L5">
            <v>23.3</v>
          </cell>
          <cell r="M5">
            <v>7.8</v>
          </cell>
          <cell r="N5">
            <v>6.2</v>
          </cell>
          <cell r="O5">
            <v>27.400000000000002</v>
          </cell>
          <cell r="P5">
            <v>32.5</v>
          </cell>
          <cell r="Q5">
            <v>13.900000000000002</v>
          </cell>
          <cell r="R5">
            <v>7.1</v>
          </cell>
          <cell r="S5">
            <v>14.2</v>
          </cell>
          <cell r="T5">
            <v>30.099999999999998</v>
          </cell>
          <cell r="U5">
            <v>7.8</v>
          </cell>
          <cell r="V5">
            <v>21.7</v>
          </cell>
          <cell r="W5">
            <v>13.5</v>
          </cell>
          <cell r="X5">
            <v>79.400000000000006</v>
          </cell>
          <cell r="Y5">
            <v>7.1</v>
          </cell>
          <cell r="Z5">
            <v>10.100000000000001</v>
          </cell>
          <cell r="AA5">
            <v>41.9</v>
          </cell>
          <cell r="AB5">
            <v>14.000000000000002</v>
          </cell>
          <cell r="AC5">
            <v>53.5</v>
          </cell>
          <cell r="AD5">
            <v>25.6</v>
          </cell>
          <cell r="AE5">
            <v>57.199999999999996</v>
          </cell>
          <cell r="AF5">
            <v>42.8</v>
          </cell>
          <cell r="AG5">
            <v>57.999999999999993</v>
          </cell>
          <cell r="AH5">
            <v>42</v>
          </cell>
          <cell r="AI5">
            <v>42.699999999999996</v>
          </cell>
          <cell r="AJ5">
            <v>13.900000000000002</v>
          </cell>
          <cell r="AK5">
            <v>2.5</v>
          </cell>
          <cell r="AL5">
            <v>35.6</v>
          </cell>
          <cell r="AM5">
            <v>5.3</v>
          </cell>
          <cell r="AN5">
            <v>7.9</v>
          </cell>
          <cell r="AO5">
            <v>3.6999999999999997</v>
          </cell>
          <cell r="AP5">
            <v>2.2999999999999998</v>
          </cell>
          <cell r="AQ5">
            <v>80.400000000000006</v>
          </cell>
          <cell r="AR5">
            <v>5.6000000000000005</v>
          </cell>
          <cell r="AS5">
            <v>65.600000000000009</v>
          </cell>
          <cell r="AT5">
            <v>12.9</v>
          </cell>
          <cell r="AU5">
            <v>5.5</v>
          </cell>
          <cell r="AV5">
            <v>5.0999999999999996</v>
          </cell>
          <cell r="AW5">
            <v>5.5</v>
          </cell>
          <cell r="AX5">
            <v>5.3</v>
          </cell>
          <cell r="AY5">
            <v>5.5</v>
          </cell>
          <cell r="AZ5">
            <v>6</v>
          </cell>
          <cell r="BA5">
            <v>4.3999999999999995</v>
          </cell>
          <cell r="BB5">
            <v>6.9</v>
          </cell>
          <cell r="BC5">
            <v>25.900000000000002</v>
          </cell>
          <cell r="BD5">
            <v>51.4</v>
          </cell>
          <cell r="BE5">
            <v>1.2</v>
          </cell>
          <cell r="BF5">
            <v>1.5</v>
          </cell>
          <cell r="BG5">
            <v>2</v>
          </cell>
          <cell r="BH5">
            <v>6.1</v>
          </cell>
          <cell r="BI5">
            <v>30.4</v>
          </cell>
          <cell r="BJ5">
            <v>58.8</v>
          </cell>
          <cell r="BK5">
            <v>0</v>
          </cell>
          <cell r="BL5">
            <v>0</v>
          </cell>
          <cell r="BM5">
            <v>0.3</v>
          </cell>
          <cell r="BN5">
            <v>7.5</v>
          </cell>
          <cell r="BO5">
            <v>67.800000000000011</v>
          </cell>
          <cell r="BP5">
            <v>24.5</v>
          </cell>
          <cell r="BQ5" t="str">
            <v>nd</v>
          </cell>
          <cell r="BR5">
            <v>0.2</v>
          </cell>
          <cell r="BS5">
            <v>1</v>
          </cell>
          <cell r="BT5">
            <v>10.299999999999999</v>
          </cell>
          <cell r="BU5">
            <v>61.199999999999996</v>
          </cell>
          <cell r="BV5">
            <v>27.200000000000003</v>
          </cell>
          <cell r="BW5">
            <v>0</v>
          </cell>
          <cell r="BX5">
            <v>0</v>
          </cell>
          <cell r="BY5">
            <v>0</v>
          </cell>
          <cell r="BZ5" t="str">
            <v>nd</v>
          </cell>
          <cell r="CA5">
            <v>1.2</v>
          </cell>
          <cell r="CB5">
            <v>98.7</v>
          </cell>
          <cell r="CC5">
            <v>17.299999999999997</v>
          </cell>
          <cell r="CD5">
            <v>8.6</v>
          </cell>
          <cell r="CE5">
            <v>0.70000000000000007</v>
          </cell>
          <cell r="CF5">
            <v>2</v>
          </cell>
          <cell r="CG5">
            <v>0.4</v>
          </cell>
          <cell r="CH5">
            <v>17.399999999999999</v>
          </cell>
          <cell r="CI5">
            <v>9.4</v>
          </cell>
          <cell r="CJ5">
            <v>63.5</v>
          </cell>
          <cell r="CK5">
            <v>28.7</v>
          </cell>
          <cell r="CL5">
            <v>2.9000000000000004</v>
          </cell>
          <cell r="CM5">
            <v>3.3000000000000003</v>
          </cell>
          <cell r="CN5">
            <v>2.1999999999999997</v>
          </cell>
          <cell r="CO5">
            <v>69.599999999999994</v>
          </cell>
          <cell r="CP5">
            <v>22.400000000000002</v>
          </cell>
          <cell r="CQ5">
            <v>32.4</v>
          </cell>
          <cell r="CR5">
            <v>13.100000000000001</v>
          </cell>
          <cell r="CS5">
            <v>32.1</v>
          </cell>
          <cell r="CT5">
            <v>24.2</v>
          </cell>
          <cell r="CU5">
            <v>75.8</v>
          </cell>
          <cell r="CV5">
            <v>22.3</v>
          </cell>
          <cell r="CW5">
            <v>77.7</v>
          </cell>
          <cell r="CX5">
            <v>22.5</v>
          </cell>
          <cell r="CY5">
            <v>26.5</v>
          </cell>
          <cell r="CZ5">
            <v>51</v>
          </cell>
          <cell r="DA5">
            <v>35.299999999999997</v>
          </cell>
          <cell r="DB5">
            <v>4.3</v>
          </cell>
          <cell r="DC5">
            <v>20.8</v>
          </cell>
          <cell r="DD5">
            <v>1.9</v>
          </cell>
          <cell r="DE5">
            <v>53.6</v>
          </cell>
          <cell r="DF5">
            <v>21.5</v>
          </cell>
          <cell r="DG5">
            <v>9</v>
          </cell>
          <cell r="DH5">
            <v>19</v>
          </cell>
          <cell r="DI5">
            <v>12.6</v>
          </cell>
          <cell r="DJ5">
            <v>17.2</v>
          </cell>
          <cell r="DK5">
            <v>20.7</v>
          </cell>
          <cell r="DL5">
            <v>20.8</v>
          </cell>
          <cell r="DM5">
            <v>35.9</v>
          </cell>
          <cell r="DN5">
            <v>10.299999999999999</v>
          </cell>
          <cell r="DO5">
            <v>26.400000000000002</v>
          </cell>
          <cell r="DP5">
            <v>7.5</v>
          </cell>
          <cell r="DQ5">
            <v>2</v>
          </cell>
          <cell r="DR5">
            <v>9.3000000000000007</v>
          </cell>
          <cell r="DS5">
            <v>15.9</v>
          </cell>
          <cell r="DT5">
            <v>19.900000000000002</v>
          </cell>
          <cell r="DU5">
            <v>0.25115599999999999</v>
          </cell>
          <cell r="DV5">
            <v>0.61655099999999996</v>
          </cell>
          <cell r="DW5">
            <v>8.1316699999999992E-2</v>
          </cell>
          <cell r="DX5">
            <v>0.220136</v>
          </cell>
          <cell r="DY5">
            <v>0.24815000000000001</v>
          </cell>
          <cell r="DZ5">
            <v>3.9641299999999999</v>
          </cell>
          <cell r="EA5">
            <v>2.1267100000000001</v>
          </cell>
          <cell r="EB5">
            <v>1.3266099999999998</v>
          </cell>
          <cell r="EC5">
            <v>1.06372</v>
          </cell>
          <cell r="ED5">
            <v>0.77032599999999996</v>
          </cell>
          <cell r="EE5">
            <v>0.63540799999999997</v>
          </cell>
          <cell r="EF5">
            <v>18.933916199999999</v>
          </cell>
          <cell r="EG5">
            <v>6.0843099999999994</v>
          </cell>
          <cell r="EH5">
            <v>2.3553799999999998</v>
          </cell>
          <cell r="EI5">
            <v>2.1862699999999999</v>
          </cell>
          <cell r="EJ5">
            <v>2.1945800000000002</v>
          </cell>
          <cell r="EK5">
            <v>1.3979600000000001</v>
          </cell>
          <cell r="EL5">
            <v>34.150081</v>
          </cell>
          <cell r="EM5">
            <v>3.58941</v>
          </cell>
          <cell r="EN5">
            <v>1.3830200000000001</v>
          </cell>
          <cell r="EO5">
            <v>1.4871699999999999</v>
          </cell>
          <cell r="EP5">
            <v>1.7294700000000001</v>
          </cell>
          <cell r="EQ5">
            <v>2.21455</v>
          </cell>
          <cell r="ER5">
            <v>8.3156780000000001</v>
          </cell>
          <cell r="ES5">
            <v>0.87396999999999991</v>
          </cell>
          <cell r="ET5">
            <v>0.39042100000000002</v>
          </cell>
          <cell r="EU5">
            <v>0.13697300000000001</v>
          </cell>
          <cell r="EV5">
            <v>0.23105199999999998</v>
          </cell>
          <cell r="EW5">
            <v>0.83805000000000007</v>
          </cell>
          <cell r="EX5" t="str">
            <v>nd</v>
          </cell>
          <cell r="EY5">
            <v>0.47143799999999997</v>
          </cell>
          <cell r="EZ5" t="str">
            <v>nd</v>
          </cell>
          <cell r="FA5" t="str">
            <v>nd</v>
          </cell>
          <cell r="FB5">
            <v>0.72400200000000003</v>
          </cell>
          <cell r="FC5">
            <v>0.63219799999999993</v>
          </cell>
          <cell r="FD5">
            <v>0.54559899999999995</v>
          </cell>
          <cell r="FE5">
            <v>0.35938100000000001</v>
          </cell>
          <cell r="FF5">
            <v>0.83180000000000009</v>
          </cell>
          <cell r="FG5">
            <v>3.6310000000000002</v>
          </cell>
          <cell r="FH5">
            <v>3.92814</v>
          </cell>
          <cell r="FI5">
            <v>1.9591299999999998</v>
          </cell>
          <cell r="FJ5">
            <v>2.8325399999999998</v>
          </cell>
          <cell r="FK5">
            <v>1.89777</v>
          </cell>
          <cell r="FL5">
            <v>2.7462299999999997</v>
          </cell>
          <cell r="FM5">
            <v>9.3710521</v>
          </cell>
          <cell r="FN5">
            <v>14.2667001</v>
          </cell>
          <cell r="FO5">
            <v>2.5536799999999999</v>
          </cell>
          <cell r="FP5">
            <v>2.2394500000000002</v>
          </cell>
          <cell r="FQ5">
            <v>1.6891799999999999</v>
          </cell>
          <cell r="FR5">
            <v>2.5766399999999998</v>
          </cell>
          <cell r="FS5">
            <v>9.7169869000000002</v>
          </cell>
          <cell r="FT5">
            <v>26.272039899999999</v>
          </cell>
          <cell r="FU5">
            <v>0.210115</v>
          </cell>
          <cell r="FV5">
            <v>0.276731</v>
          </cell>
          <cell r="FW5">
            <v>0.44266899999999998</v>
          </cell>
          <cell r="FX5">
            <v>0.58381800000000006</v>
          </cell>
          <cell r="FY5">
            <v>2.7386599999999999</v>
          </cell>
          <cell r="FZ5">
            <v>6.1357799999999996</v>
          </cell>
          <cell r="GA5">
            <v>0.470586</v>
          </cell>
          <cell r="GB5">
            <v>0.288078</v>
          </cell>
          <cell r="GC5">
            <v>0</v>
          </cell>
          <cell r="GD5">
            <v>0.158834</v>
          </cell>
          <cell r="GE5">
            <v>0.25952800000000004</v>
          </cell>
          <cell r="GF5">
            <v>0.38085400000000003</v>
          </cell>
          <cell r="GG5">
            <v>0.86306000000000005</v>
          </cell>
          <cell r="GH5">
            <v>0.80511999999999995</v>
          </cell>
          <cell r="GI5">
            <v>1.8523399999999999</v>
          </cell>
          <cell r="GJ5">
            <v>3.0468500000000001</v>
          </cell>
          <cell r="GK5">
            <v>3.0661199999999997</v>
          </cell>
          <cell r="GL5">
            <v>0.15969700000000001</v>
          </cell>
          <cell r="GM5">
            <v>0.24985200000000002</v>
          </cell>
          <cell r="GN5">
            <v>0.82883000000000007</v>
          </cell>
          <cell r="GO5">
            <v>3.3590299999999997</v>
          </cell>
          <cell r="GP5">
            <v>12.945220700000002</v>
          </cell>
          <cell r="GQ5">
            <v>16.006913900000001</v>
          </cell>
          <cell r="GR5" t="str">
            <v>nd</v>
          </cell>
          <cell r="GS5" t="str">
            <v>nd</v>
          </cell>
          <cell r="GT5">
            <v>0.286028</v>
          </cell>
          <cell r="GU5">
            <v>0.51942100000000002</v>
          </cell>
          <cell r="GV5">
            <v>10.6137388</v>
          </cell>
          <cell r="GW5">
            <v>32.705809299999999</v>
          </cell>
          <cell r="GX5" t="str">
            <v>nd</v>
          </cell>
          <cell r="GY5" t="str">
            <v>nd</v>
          </cell>
          <cell r="GZ5" t="str">
            <v>nd</v>
          </cell>
          <cell r="HA5">
            <v>0.150196</v>
          </cell>
          <cell r="HB5">
            <v>3.63097</v>
          </cell>
          <cell r="HC5">
            <v>6.7113267000000008</v>
          </cell>
          <cell r="HD5">
            <v>0</v>
          </cell>
          <cell r="HE5">
            <v>0.57398199999999999</v>
          </cell>
          <cell r="HF5">
            <v>0</v>
          </cell>
          <cell r="HG5" t="str">
            <v>nd</v>
          </cell>
          <cell r="HH5">
            <v>0.93226999999999993</v>
          </cell>
          <cell r="HI5">
            <v>0</v>
          </cell>
          <cell r="HJ5">
            <v>0</v>
          </cell>
          <cell r="HK5">
            <v>0</v>
          </cell>
          <cell r="HL5">
            <v>0.43388300000000002</v>
          </cell>
          <cell r="HM5">
            <v>6.2534611</v>
          </cell>
          <cell r="HN5">
            <v>3.3850100000000003</v>
          </cell>
          <cell r="HO5">
            <v>0</v>
          </cell>
          <cell r="HP5">
            <v>0</v>
          </cell>
          <cell r="HQ5">
            <v>0.17061299999999999</v>
          </cell>
          <cell r="HR5">
            <v>3.0495100000000002</v>
          </cell>
          <cell r="HS5">
            <v>22.8807449</v>
          </cell>
          <cell r="HT5">
            <v>7.1678218999999999</v>
          </cell>
          <cell r="HU5">
            <v>0</v>
          </cell>
          <cell r="HV5">
            <v>0</v>
          </cell>
          <cell r="HW5" t="str">
            <v>nd</v>
          </cell>
          <cell r="HX5">
            <v>2.7809400000000002</v>
          </cell>
          <cell r="HY5">
            <v>30.351565300000001</v>
          </cell>
          <cell r="HZ5">
            <v>11.2284696</v>
          </cell>
          <cell r="IA5">
            <v>0</v>
          </cell>
          <cell r="IB5">
            <v>0</v>
          </cell>
          <cell r="IC5">
            <v>0</v>
          </cell>
          <cell r="ID5">
            <v>1.16354</v>
          </cell>
          <cell r="IE5">
            <v>7.6457093</v>
          </cell>
          <cell r="IF5">
            <v>1.7929400000000002</v>
          </cell>
          <cell r="IG5">
            <v>0</v>
          </cell>
          <cell r="IH5">
            <v>0.581071</v>
          </cell>
          <cell r="II5" t="str">
            <v>nd</v>
          </cell>
          <cell r="IJ5">
            <v>9.3720700000000004E-2</v>
          </cell>
          <cell r="IK5">
            <v>0.90402999999999989</v>
          </cell>
          <cell r="IL5">
            <v>0</v>
          </cell>
          <cell r="IM5">
            <v>0.13724600000000001</v>
          </cell>
          <cell r="IN5">
            <v>0.268679</v>
          </cell>
          <cell r="IO5">
            <v>1.08639</v>
          </cell>
          <cell r="IP5">
            <v>4.9390000000000001</v>
          </cell>
          <cell r="IQ5">
            <v>3.4545100000000004</v>
          </cell>
          <cell r="IR5" t="str">
            <v>nd</v>
          </cell>
          <cell r="IS5" t="str">
            <v>nd</v>
          </cell>
          <cell r="IT5">
            <v>0.22614599999999999</v>
          </cell>
          <cell r="IU5">
            <v>3.5516899999999998</v>
          </cell>
          <cell r="IV5">
            <v>21.009900600000002</v>
          </cell>
          <cell r="IW5">
            <v>8.2647753999999996</v>
          </cell>
          <cell r="IX5" t="str">
            <v>nd</v>
          </cell>
          <cell r="IY5" t="str">
            <v>nd</v>
          </cell>
          <cell r="IZ5">
            <v>0.40658300000000003</v>
          </cell>
          <cell r="JA5">
            <v>4.1325799999999999</v>
          </cell>
          <cell r="JB5">
            <v>28.039655800000002</v>
          </cell>
          <cell r="JC5">
            <v>12.1180801</v>
          </cell>
          <cell r="JD5">
            <v>0</v>
          </cell>
          <cell r="JE5">
            <v>0</v>
          </cell>
          <cell r="JF5" t="str">
            <v>nd</v>
          </cell>
          <cell r="JG5">
            <v>1.45041</v>
          </cell>
          <cell r="JH5">
            <v>6.5856422999999999</v>
          </cell>
          <cell r="JI5">
            <v>2.4754900000000002</v>
          </cell>
          <cell r="JJ5">
            <v>0</v>
          </cell>
          <cell r="JK5" t="str">
            <v>nd</v>
          </cell>
          <cell r="JL5">
            <v>0</v>
          </cell>
          <cell r="JM5">
            <v>0</v>
          </cell>
          <cell r="JN5">
            <v>1.5326299999999999</v>
          </cell>
          <cell r="JO5">
            <v>0</v>
          </cell>
          <cell r="JP5">
            <v>0</v>
          </cell>
          <cell r="JQ5">
            <v>0</v>
          </cell>
          <cell r="JR5">
            <v>0</v>
          </cell>
          <cell r="JS5">
            <v>0.10610299999999999</v>
          </cell>
          <cell r="JT5">
            <v>9.823577199999999</v>
          </cell>
          <cell r="JU5">
            <v>0</v>
          </cell>
          <cell r="JV5">
            <v>0</v>
          </cell>
          <cell r="JW5">
            <v>0</v>
          </cell>
          <cell r="JX5" t="str">
            <v>nd</v>
          </cell>
          <cell r="JY5">
            <v>0.36544699999999997</v>
          </cell>
          <cell r="JZ5">
            <v>32.989177600000005</v>
          </cell>
          <cell r="KA5">
            <v>0</v>
          </cell>
          <cell r="KB5">
            <v>0</v>
          </cell>
          <cell r="KC5">
            <v>0</v>
          </cell>
          <cell r="KD5">
            <v>0</v>
          </cell>
          <cell r="KE5">
            <v>0.487371</v>
          </cell>
          <cell r="KF5">
            <v>44.1117718</v>
          </cell>
          <cell r="KG5">
            <v>0</v>
          </cell>
          <cell r="KH5">
            <v>0</v>
          </cell>
          <cell r="KI5">
            <v>0</v>
          </cell>
          <cell r="KJ5">
            <v>0</v>
          </cell>
          <cell r="KK5">
            <v>0.19862299999999999</v>
          </cell>
          <cell r="KL5">
            <v>10.268679199999999</v>
          </cell>
          <cell r="KM5">
            <v>69.3</v>
          </cell>
          <cell r="KN5">
            <v>12.6</v>
          </cell>
          <cell r="KO5">
            <v>6</v>
          </cell>
          <cell r="KP5">
            <v>5.8999999999999995</v>
          </cell>
          <cell r="KQ5">
            <v>6.2</v>
          </cell>
          <cell r="KR5">
            <v>0.1</v>
          </cell>
          <cell r="KS5">
            <v>68.2</v>
          </cell>
          <cell r="KT5">
            <v>12.6</v>
          </cell>
          <cell r="KU5">
            <v>6.1</v>
          </cell>
          <cell r="KV5">
            <v>6.2</v>
          </cell>
          <cell r="KW5">
            <v>6.7</v>
          </cell>
          <cell r="KX5">
            <v>0.1</v>
          </cell>
          <cell r="KY5"/>
          <cell r="KZ5"/>
          <cell r="LA5"/>
          <cell r="LB5"/>
          <cell r="LC5"/>
          <cell r="LD5"/>
          <cell r="LE5"/>
          <cell r="LF5"/>
          <cell r="LG5"/>
          <cell r="LH5"/>
          <cell r="LI5"/>
          <cell r="LJ5"/>
          <cell r="LK5"/>
          <cell r="LL5"/>
          <cell r="LM5"/>
          <cell r="LN5"/>
          <cell r="LO5"/>
        </row>
        <row r="6">
          <cell r="A6" t="str">
            <v>4Ens</v>
          </cell>
          <cell r="B6" t="str">
            <v>6</v>
          </cell>
          <cell r="C6" t="str">
            <v>Ensemble</v>
          </cell>
          <cell r="D6" t="str">
            <v/>
          </cell>
          <cell r="E6" t="str">
            <v>4</v>
          </cell>
          <cell r="F6">
            <v>1.7999999999999998</v>
          </cell>
          <cell r="G6">
            <v>8.3000000000000007</v>
          </cell>
          <cell r="H6">
            <v>36.799999999999997</v>
          </cell>
          <cell r="I6">
            <v>41.5</v>
          </cell>
          <cell r="J6">
            <v>11.600000000000001</v>
          </cell>
          <cell r="K6">
            <v>62.6</v>
          </cell>
          <cell r="L6">
            <v>24.099999999999998</v>
          </cell>
          <cell r="M6">
            <v>7.3999999999999995</v>
          </cell>
          <cell r="N6">
            <v>5.8999999999999995</v>
          </cell>
          <cell r="O6">
            <v>29.599999999999998</v>
          </cell>
          <cell r="P6">
            <v>29.599999999999998</v>
          </cell>
          <cell r="Q6">
            <v>14.000000000000002</v>
          </cell>
          <cell r="R6">
            <v>7.5</v>
          </cell>
          <cell r="S6">
            <v>15.7</v>
          </cell>
          <cell r="T6">
            <v>30.8</v>
          </cell>
          <cell r="U6">
            <v>8.1</v>
          </cell>
          <cell r="V6">
            <v>23.400000000000002</v>
          </cell>
          <cell r="W6">
            <v>13.600000000000001</v>
          </cell>
          <cell r="X6">
            <v>78.600000000000009</v>
          </cell>
          <cell r="Y6">
            <v>7.7</v>
          </cell>
          <cell r="Z6">
            <v>4.7</v>
          </cell>
          <cell r="AA6">
            <v>46.9</v>
          </cell>
          <cell r="AB6">
            <v>15.6</v>
          </cell>
          <cell r="AC6">
            <v>56.999999999999993</v>
          </cell>
          <cell r="AD6">
            <v>24.2</v>
          </cell>
          <cell r="AE6">
            <v>63.5</v>
          </cell>
          <cell r="AF6">
            <v>36.5</v>
          </cell>
          <cell r="AG6">
            <v>71.599999999999994</v>
          </cell>
          <cell r="AH6">
            <v>28.4</v>
          </cell>
          <cell r="AI6">
            <v>39.4</v>
          </cell>
          <cell r="AJ6">
            <v>10.9</v>
          </cell>
          <cell r="AK6">
            <v>2.5</v>
          </cell>
          <cell r="AL6">
            <v>40.1</v>
          </cell>
          <cell r="AM6">
            <v>7.1</v>
          </cell>
          <cell r="AN6">
            <v>11.1</v>
          </cell>
          <cell r="AO6">
            <v>3.5000000000000004</v>
          </cell>
          <cell r="AP6">
            <v>3.5000000000000004</v>
          </cell>
          <cell r="AQ6">
            <v>74.900000000000006</v>
          </cell>
          <cell r="AR6">
            <v>7.1</v>
          </cell>
          <cell r="AS6">
            <v>61.1</v>
          </cell>
          <cell r="AT6">
            <v>14.899999999999999</v>
          </cell>
          <cell r="AU6">
            <v>7.1</v>
          </cell>
          <cell r="AV6">
            <v>6.2</v>
          </cell>
          <cell r="AW6">
            <v>5</v>
          </cell>
          <cell r="AX6">
            <v>5.7</v>
          </cell>
          <cell r="AY6">
            <v>5.6000000000000005</v>
          </cell>
          <cell r="AZ6">
            <v>6.5</v>
          </cell>
          <cell r="BA6">
            <v>6.6000000000000005</v>
          </cell>
          <cell r="BB6">
            <v>11.200000000000001</v>
          </cell>
          <cell r="BC6">
            <v>34.4</v>
          </cell>
          <cell r="BD6">
            <v>35.699999999999996</v>
          </cell>
          <cell r="BE6">
            <v>1.3</v>
          </cell>
          <cell r="BF6">
            <v>1.6</v>
          </cell>
          <cell r="BG6">
            <v>2.5</v>
          </cell>
          <cell r="BH6">
            <v>7.7</v>
          </cell>
          <cell r="BI6">
            <v>37.1</v>
          </cell>
          <cell r="BJ6">
            <v>49.8</v>
          </cell>
          <cell r="BK6">
            <v>0</v>
          </cell>
          <cell r="BL6" t="str">
            <v>nd</v>
          </cell>
          <cell r="BM6">
            <v>0.2</v>
          </cell>
          <cell r="BN6">
            <v>8.9</v>
          </cell>
          <cell r="BO6">
            <v>77.100000000000009</v>
          </cell>
          <cell r="BP6">
            <v>13.8</v>
          </cell>
          <cell r="BQ6">
            <v>0.2</v>
          </cell>
          <cell r="BR6">
            <v>0.3</v>
          </cell>
          <cell r="BS6">
            <v>1</v>
          </cell>
          <cell r="BT6">
            <v>12.2</v>
          </cell>
          <cell r="BU6">
            <v>64.2</v>
          </cell>
          <cell r="BV6">
            <v>22.2</v>
          </cell>
          <cell r="BW6">
            <v>0</v>
          </cell>
          <cell r="BX6">
            <v>0</v>
          </cell>
          <cell r="BY6">
            <v>0</v>
          </cell>
          <cell r="BZ6" t="str">
            <v>nd</v>
          </cell>
          <cell r="CA6">
            <v>1.3</v>
          </cell>
          <cell r="CB6">
            <v>98.7</v>
          </cell>
          <cell r="CC6">
            <v>19.2</v>
          </cell>
          <cell r="CD6">
            <v>13.3</v>
          </cell>
          <cell r="CE6">
            <v>1.9</v>
          </cell>
          <cell r="CF6">
            <v>2.1</v>
          </cell>
          <cell r="CG6">
            <v>0.70000000000000007</v>
          </cell>
          <cell r="CH6">
            <v>17.599999999999998</v>
          </cell>
          <cell r="CI6">
            <v>8.9</v>
          </cell>
          <cell r="CJ6">
            <v>58.099999999999994</v>
          </cell>
          <cell r="CK6">
            <v>33.800000000000004</v>
          </cell>
          <cell r="CL6">
            <v>4.5999999999999996</v>
          </cell>
          <cell r="CM6">
            <v>3.6999999999999997</v>
          </cell>
          <cell r="CN6">
            <v>1.4000000000000001</v>
          </cell>
          <cell r="CO6">
            <v>63.1</v>
          </cell>
          <cell r="CP6">
            <v>21.3</v>
          </cell>
          <cell r="CQ6">
            <v>30.2</v>
          </cell>
          <cell r="CR6">
            <v>11.799999999999999</v>
          </cell>
          <cell r="CS6">
            <v>36.6</v>
          </cell>
          <cell r="CT6">
            <v>22.6</v>
          </cell>
          <cell r="CU6">
            <v>77.400000000000006</v>
          </cell>
          <cell r="CV6">
            <v>21.9</v>
          </cell>
          <cell r="CW6">
            <v>78.100000000000009</v>
          </cell>
          <cell r="CX6">
            <v>19.3</v>
          </cell>
          <cell r="CY6">
            <v>27.700000000000003</v>
          </cell>
          <cell r="CZ6">
            <v>53</v>
          </cell>
          <cell r="DA6">
            <v>36</v>
          </cell>
          <cell r="DB6">
            <v>7.6</v>
          </cell>
          <cell r="DC6">
            <v>11.600000000000001</v>
          </cell>
          <cell r="DD6">
            <v>1.2</v>
          </cell>
          <cell r="DE6">
            <v>57.599999999999994</v>
          </cell>
          <cell r="DF6">
            <v>20.5</v>
          </cell>
          <cell r="DG6">
            <v>9.4</v>
          </cell>
          <cell r="DH6">
            <v>17.5</v>
          </cell>
          <cell r="DI6">
            <v>12.5</v>
          </cell>
          <cell r="DJ6">
            <v>18.5</v>
          </cell>
          <cell r="DK6">
            <v>21.6</v>
          </cell>
          <cell r="DL6">
            <v>19.7</v>
          </cell>
          <cell r="DM6">
            <v>36</v>
          </cell>
          <cell r="DN6">
            <v>9.6</v>
          </cell>
          <cell r="DO6">
            <v>25.4</v>
          </cell>
          <cell r="DP6">
            <v>10.100000000000001</v>
          </cell>
          <cell r="DQ6">
            <v>3.1</v>
          </cell>
          <cell r="DR6">
            <v>9.3000000000000007</v>
          </cell>
          <cell r="DS6">
            <v>18.5</v>
          </cell>
          <cell r="DT6">
            <v>20.100000000000001</v>
          </cell>
          <cell r="DU6">
            <v>0.35305300000000001</v>
          </cell>
          <cell r="DV6">
            <v>0.68389</v>
          </cell>
          <cell r="DW6" t="str">
            <v>nd</v>
          </cell>
          <cell r="DX6">
            <v>0.16818899999999998</v>
          </cell>
          <cell r="DY6">
            <v>0.45608000000000004</v>
          </cell>
          <cell r="DZ6">
            <v>2.7804700000000002</v>
          </cell>
          <cell r="EA6">
            <v>1.7943400000000003</v>
          </cell>
          <cell r="EB6">
            <v>1.2831999999999999</v>
          </cell>
          <cell r="EC6">
            <v>1.52651</v>
          </cell>
          <cell r="ED6">
            <v>0.63873599999999997</v>
          </cell>
          <cell r="EE6">
            <v>0.36430400000000002</v>
          </cell>
          <cell r="EF6">
            <v>19.355591699999998</v>
          </cell>
          <cell r="EG6">
            <v>7.698988599999999</v>
          </cell>
          <cell r="EH6">
            <v>3.6508500000000002</v>
          </cell>
          <cell r="EI6">
            <v>2.8150399999999998</v>
          </cell>
          <cell r="EJ6">
            <v>1.5432899999999998</v>
          </cell>
          <cell r="EK6">
            <v>1.8974899999999999</v>
          </cell>
          <cell r="EL6">
            <v>29.910004899999997</v>
          </cell>
          <cell r="EM6">
            <v>4.5097399999999999</v>
          </cell>
          <cell r="EN6">
            <v>1.6501700000000001</v>
          </cell>
          <cell r="EO6">
            <v>1.2159599999999999</v>
          </cell>
          <cell r="EP6">
            <v>1.7165799999999998</v>
          </cell>
          <cell r="EQ6">
            <v>2.3460899999999998</v>
          </cell>
          <cell r="ER6">
            <v>8.6995658000000002</v>
          </cell>
          <cell r="ES6">
            <v>0.90971000000000002</v>
          </cell>
          <cell r="ET6">
            <v>0.47771999999999998</v>
          </cell>
          <cell r="EU6">
            <v>0.45324500000000001</v>
          </cell>
          <cell r="EV6">
            <v>0.33283400000000002</v>
          </cell>
          <cell r="EW6">
            <v>0.665524</v>
          </cell>
          <cell r="EX6">
            <v>0</v>
          </cell>
          <cell r="EY6">
            <v>0.97969000000000006</v>
          </cell>
          <cell r="EZ6" t="str">
            <v>nd</v>
          </cell>
          <cell r="FA6">
            <v>8.9260300000000001E-2</v>
          </cell>
          <cell r="FB6">
            <v>0.67425100000000004</v>
          </cell>
          <cell r="FC6">
            <v>0.74959700000000007</v>
          </cell>
          <cell r="FD6">
            <v>0.48005300000000001</v>
          </cell>
          <cell r="FE6">
            <v>0.47140799999999999</v>
          </cell>
          <cell r="FF6">
            <v>1.4513800000000001</v>
          </cell>
          <cell r="FG6">
            <v>2.8609</v>
          </cell>
          <cell r="FH6">
            <v>2.2886900000000003</v>
          </cell>
          <cell r="FI6">
            <v>1.8635599999999999</v>
          </cell>
          <cell r="FJ6">
            <v>3.2806299999999995</v>
          </cell>
          <cell r="FK6">
            <v>3.03851</v>
          </cell>
          <cell r="FL6">
            <v>4.3068799999999996</v>
          </cell>
          <cell r="FM6">
            <v>13.049609</v>
          </cell>
          <cell r="FN6">
            <v>11.4445669</v>
          </cell>
          <cell r="FO6">
            <v>2.5550600000000001</v>
          </cell>
          <cell r="FP6">
            <v>2.2971900000000001</v>
          </cell>
          <cell r="FQ6">
            <v>2.3992</v>
          </cell>
          <cell r="FR6">
            <v>4.2675700000000001</v>
          </cell>
          <cell r="FS6">
            <v>14.225212300000001</v>
          </cell>
          <cell r="FT6">
            <v>15.682676300000001</v>
          </cell>
          <cell r="FU6">
            <v>0.46424300000000002</v>
          </cell>
          <cell r="FV6">
            <v>0.44399299999999997</v>
          </cell>
          <cell r="FW6">
            <v>0.61324500000000004</v>
          </cell>
          <cell r="FX6">
            <v>1.12127</v>
          </cell>
          <cell r="FY6">
            <v>3.3685399999999999</v>
          </cell>
          <cell r="FZ6">
            <v>5.5063199999999997</v>
          </cell>
          <cell r="GA6">
            <v>0.80475000000000008</v>
          </cell>
          <cell r="GB6">
            <v>0.20008299999999998</v>
          </cell>
          <cell r="GC6">
            <v>0.13258400000000001</v>
          </cell>
          <cell r="GD6">
            <v>0</v>
          </cell>
          <cell r="GE6">
            <v>0.24399799999999999</v>
          </cell>
          <cell r="GF6">
            <v>0.30124899999999999</v>
          </cell>
          <cell r="GG6">
            <v>0.767092</v>
          </cell>
          <cell r="GH6">
            <v>1.09301</v>
          </cell>
          <cell r="GI6">
            <v>1.5976899999999998</v>
          </cell>
          <cell r="GJ6">
            <v>2.4994499999999999</v>
          </cell>
          <cell r="GK6">
            <v>1.8461000000000001</v>
          </cell>
          <cell r="GL6">
            <v>0.13606799999999999</v>
          </cell>
          <cell r="GM6">
            <v>0.36297000000000001</v>
          </cell>
          <cell r="GN6">
            <v>1.04697</v>
          </cell>
          <cell r="GO6">
            <v>4.6619999999999999</v>
          </cell>
          <cell r="GP6">
            <v>15.402670500000001</v>
          </cell>
          <cell r="GQ6">
            <v>15.105707400000002</v>
          </cell>
          <cell r="GR6">
            <v>0</v>
          </cell>
          <cell r="GS6">
            <v>0</v>
          </cell>
          <cell r="GT6">
            <v>0.10140399999999999</v>
          </cell>
          <cell r="GU6">
            <v>0.99631000000000003</v>
          </cell>
          <cell r="GV6">
            <v>14.334840600000001</v>
          </cell>
          <cell r="GW6">
            <v>26.242947600000001</v>
          </cell>
          <cell r="GX6" t="str">
            <v>nd</v>
          </cell>
          <cell r="GY6" t="str">
            <v>nd</v>
          </cell>
          <cell r="GZ6">
            <v>0.17387900000000001</v>
          </cell>
          <cell r="HA6">
            <v>0.44670799999999999</v>
          </cell>
          <cell r="HB6">
            <v>4.7184400000000002</v>
          </cell>
          <cell r="HC6">
            <v>6.2701133000000002</v>
          </cell>
          <cell r="HD6">
            <v>0</v>
          </cell>
          <cell r="HE6">
            <v>1.3766799999999999</v>
          </cell>
          <cell r="HF6">
            <v>0</v>
          </cell>
          <cell r="HG6">
            <v>0.109295</v>
          </cell>
          <cell r="HH6">
            <v>0.29209299999999999</v>
          </cell>
          <cell r="HI6">
            <v>0</v>
          </cell>
          <cell r="HJ6">
            <v>0</v>
          </cell>
          <cell r="HK6">
            <v>0</v>
          </cell>
          <cell r="HL6">
            <v>0.91176000000000001</v>
          </cell>
          <cell r="HM6">
            <v>6.04068</v>
          </cell>
          <cell r="HN6">
            <v>1.11927</v>
          </cell>
          <cell r="HO6">
            <v>0</v>
          </cell>
          <cell r="HP6">
            <v>0</v>
          </cell>
          <cell r="HQ6">
            <v>0.19780399999999998</v>
          </cell>
          <cell r="HR6">
            <v>3.2747900000000003</v>
          </cell>
          <cell r="HS6">
            <v>29.098416500000003</v>
          </cell>
          <cell r="HT6">
            <v>4.26579</v>
          </cell>
          <cell r="HU6">
            <v>0</v>
          </cell>
          <cell r="HV6">
            <v>0</v>
          </cell>
          <cell r="HW6">
            <v>0</v>
          </cell>
          <cell r="HX6">
            <v>3.64236</v>
          </cell>
          <cell r="HY6">
            <v>31.3209637</v>
          </cell>
          <cell r="HZ6">
            <v>6.7127785999999992</v>
          </cell>
          <cell r="IA6">
            <v>0</v>
          </cell>
          <cell r="IB6" t="str">
            <v>nd</v>
          </cell>
          <cell r="IC6" t="str">
            <v>nd</v>
          </cell>
          <cell r="ID6">
            <v>0.87165000000000004</v>
          </cell>
          <cell r="IE6">
            <v>9.4031573000000002</v>
          </cell>
          <cell r="IF6">
            <v>1.2973000000000001</v>
          </cell>
          <cell r="IG6">
            <v>0</v>
          </cell>
          <cell r="IH6">
            <v>0.69167299999999998</v>
          </cell>
          <cell r="II6" t="str">
            <v>nd</v>
          </cell>
          <cell r="IJ6">
            <v>0.21163000000000001</v>
          </cell>
          <cell r="IK6">
            <v>0.75251600000000007</v>
          </cell>
          <cell r="IL6">
            <v>0</v>
          </cell>
          <cell r="IM6" t="str">
            <v>nd</v>
          </cell>
          <cell r="IN6">
            <v>0.29347200000000001</v>
          </cell>
          <cell r="IO6">
            <v>1.1432100000000001</v>
          </cell>
          <cell r="IP6">
            <v>5.0562100000000001</v>
          </cell>
          <cell r="IQ6">
            <v>1.5894300000000001</v>
          </cell>
          <cell r="IR6">
            <v>0.119601</v>
          </cell>
          <cell r="IS6">
            <v>0.111429</v>
          </cell>
          <cell r="IT6">
            <v>0.32656400000000002</v>
          </cell>
          <cell r="IU6">
            <v>4.7878499999999997</v>
          </cell>
          <cell r="IV6">
            <v>23.6254612</v>
          </cell>
          <cell r="IW6">
            <v>7.9142023000000004</v>
          </cell>
          <cell r="IX6">
            <v>0</v>
          </cell>
          <cell r="IY6" t="str">
            <v>nd</v>
          </cell>
          <cell r="IZ6">
            <v>0.21229299999999998</v>
          </cell>
          <cell r="JA6">
            <v>4.6303700000000001</v>
          </cell>
          <cell r="JB6">
            <v>27.196109</v>
          </cell>
          <cell r="JC6">
            <v>9.4309813000000009</v>
          </cell>
          <cell r="JD6" t="str">
            <v>nd</v>
          </cell>
          <cell r="JE6">
            <v>0</v>
          </cell>
          <cell r="JF6" t="str">
            <v>nd</v>
          </cell>
          <cell r="JG6">
            <v>1.4536200000000001</v>
          </cell>
          <cell r="JH6">
            <v>7.6992114999999997</v>
          </cell>
          <cell r="JI6">
            <v>2.4114400000000002</v>
          </cell>
          <cell r="JJ6">
            <v>0</v>
          </cell>
          <cell r="JK6">
            <v>0.12405700000000001</v>
          </cell>
          <cell r="JL6">
            <v>0</v>
          </cell>
          <cell r="JM6">
            <v>0</v>
          </cell>
          <cell r="JN6">
            <v>1.7556599999999998</v>
          </cell>
          <cell r="JO6">
            <v>0</v>
          </cell>
          <cell r="JP6">
            <v>0</v>
          </cell>
          <cell r="JQ6">
            <v>0</v>
          </cell>
          <cell r="JR6">
            <v>0</v>
          </cell>
          <cell r="JS6">
            <v>0.145508</v>
          </cell>
          <cell r="JT6">
            <v>7.6805608999999997</v>
          </cell>
          <cell r="JU6">
            <v>0</v>
          </cell>
          <cell r="JV6">
            <v>0</v>
          </cell>
          <cell r="JW6">
            <v>0</v>
          </cell>
          <cell r="JX6" t="str">
            <v>nd</v>
          </cell>
          <cell r="JY6">
            <v>0.38030700000000001</v>
          </cell>
          <cell r="JZ6">
            <v>36.379820500000001</v>
          </cell>
          <cell r="KA6">
            <v>0</v>
          </cell>
          <cell r="KB6">
            <v>0</v>
          </cell>
          <cell r="KC6">
            <v>0</v>
          </cell>
          <cell r="KD6">
            <v>0</v>
          </cell>
          <cell r="KE6">
            <v>0.48294899999999996</v>
          </cell>
          <cell r="KF6">
            <v>41.474646999999997</v>
          </cell>
          <cell r="KG6">
            <v>0</v>
          </cell>
          <cell r="KH6">
            <v>0</v>
          </cell>
          <cell r="KI6">
            <v>0</v>
          </cell>
          <cell r="KJ6">
            <v>0</v>
          </cell>
          <cell r="KK6">
            <v>0.144262</v>
          </cell>
          <cell r="KL6">
            <v>11.3848638</v>
          </cell>
          <cell r="KM6">
            <v>65.600000000000009</v>
          </cell>
          <cell r="KN6">
            <v>14.799999999999999</v>
          </cell>
          <cell r="KO6">
            <v>6.4</v>
          </cell>
          <cell r="KP6">
            <v>6.5</v>
          </cell>
          <cell r="KQ6">
            <v>6.6000000000000005</v>
          </cell>
          <cell r="KR6">
            <v>0.1</v>
          </cell>
          <cell r="KS6">
            <v>64.2</v>
          </cell>
          <cell r="KT6">
            <v>14.899999999999999</v>
          </cell>
          <cell r="KU6">
            <v>6.7</v>
          </cell>
          <cell r="KV6">
            <v>6.9</v>
          </cell>
          <cell r="KW6">
            <v>7.1999999999999993</v>
          </cell>
          <cell r="KX6">
            <v>0.1</v>
          </cell>
          <cell r="KY6"/>
          <cell r="KZ6"/>
          <cell r="LA6"/>
          <cell r="LB6"/>
          <cell r="LC6"/>
          <cell r="LD6"/>
          <cell r="LE6"/>
          <cell r="LF6"/>
          <cell r="LG6"/>
          <cell r="LH6"/>
          <cell r="LI6"/>
          <cell r="LJ6"/>
          <cell r="LK6"/>
          <cell r="LL6"/>
          <cell r="LM6"/>
          <cell r="LN6"/>
          <cell r="LO6"/>
        </row>
        <row r="7">
          <cell r="A7" t="str">
            <v>5Ens</v>
          </cell>
          <cell r="B7" t="str">
            <v>7</v>
          </cell>
          <cell r="C7" t="str">
            <v>Ensemble</v>
          </cell>
          <cell r="D7" t="str">
            <v/>
          </cell>
          <cell r="E7" t="str">
            <v>5</v>
          </cell>
          <cell r="F7">
            <v>1.2</v>
          </cell>
          <cell r="G7">
            <v>9.9</v>
          </cell>
          <cell r="H7">
            <v>36.700000000000003</v>
          </cell>
          <cell r="I7">
            <v>42</v>
          </cell>
          <cell r="J7">
            <v>10.199999999999999</v>
          </cell>
          <cell r="K7">
            <v>61.6</v>
          </cell>
          <cell r="L7">
            <v>20.599999999999998</v>
          </cell>
          <cell r="M7">
            <v>8.6999999999999993</v>
          </cell>
          <cell r="N7">
            <v>9.1</v>
          </cell>
          <cell r="O7">
            <v>28.299999999999997</v>
          </cell>
          <cell r="P7">
            <v>32.6</v>
          </cell>
          <cell r="Q7">
            <v>13.5</v>
          </cell>
          <cell r="R7">
            <v>8</v>
          </cell>
          <cell r="S7">
            <v>16.100000000000001</v>
          </cell>
          <cell r="T7">
            <v>30.5</v>
          </cell>
          <cell r="U7">
            <v>7.8</v>
          </cell>
          <cell r="V7">
            <v>22.900000000000002</v>
          </cell>
          <cell r="W7">
            <v>14.099999999999998</v>
          </cell>
          <cell r="X7">
            <v>78.5</v>
          </cell>
          <cell r="Y7">
            <v>7.5</v>
          </cell>
          <cell r="Z7">
            <v>9.5</v>
          </cell>
          <cell r="AA7">
            <v>54</v>
          </cell>
          <cell r="AB7">
            <v>11.700000000000001</v>
          </cell>
          <cell r="AC7">
            <v>59.099999999999994</v>
          </cell>
          <cell r="AD7">
            <v>25.5</v>
          </cell>
          <cell r="AE7">
            <v>67.400000000000006</v>
          </cell>
          <cell r="AF7">
            <v>32.6</v>
          </cell>
          <cell r="AG7">
            <v>77.2</v>
          </cell>
          <cell r="AH7">
            <v>22.8</v>
          </cell>
          <cell r="AI7">
            <v>34.5</v>
          </cell>
          <cell r="AJ7">
            <v>9.1</v>
          </cell>
          <cell r="AK7">
            <v>3</v>
          </cell>
          <cell r="AL7">
            <v>47.3</v>
          </cell>
          <cell r="AM7">
            <v>6.1</v>
          </cell>
          <cell r="AN7">
            <v>11</v>
          </cell>
          <cell r="AO7">
            <v>2.8000000000000003</v>
          </cell>
          <cell r="AP7">
            <v>3.9</v>
          </cell>
          <cell r="AQ7">
            <v>72.7</v>
          </cell>
          <cell r="AR7">
            <v>9.5</v>
          </cell>
          <cell r="AS7">
            <v>55.800000000000004</v>
          </cell>
          <cell r="AT7">
            <v>16.5</v>
          </cell>
          <cell r="AU7">
            <v>9.4</v>
          </cell>
          <cell r="AV7">
            <v>7.6</v>
          </cell>
          <cell r="AW7">
            <v>6</v>
          </cell>
          <cell r="AX7">
            <v>4.8</v>
          </cell>
          <cell r="AY7">
            <v>7.6</v>
          </cell>
          <cell r="AZ7">
            <v>8.4</v>
          </cell>
          <cell r="BA7">
            <v>8.1</v>
          </cell>
          <cell r="BB7">
            <v>13</v>
          </cell>
          <cell r="BC7">
            <v>34.200000000000003</v>
          </cell>
          <cell r="BD7">
            <v>28.599999999999998</v>
          </cell>
          <cell r="BE7">
            <v>1.0999999999999999</v>
          </cell>
          <cell r="BF7">
            <v>2.1</v>
          </cell>
          <cell r="BG7">
            <v>3</v>
          </cell>
          <cell r="BH7">
            <v>8.6</v>
          </cell>
          <cell r="BI7">
            <v>41.8</v>
          </cell>
          <cell r="BJ7">
            <v>43.4</v>
          </cell>
          <cell r="BK7" t="str">
            <v>nd</v>
          </cell>
          <cell r="BL7">
            <v>0</v>
          </cell>
          <cell r="BM7">
            <v>0.70000000000000007</v>
          </cell>
          <cell r="BN7">
            <v>11.4</v>
          </cell>
          <cell r="BO7">
            <v>78.100000000000009</v>
          </cell>
          <cell r="BP7">
            <v>9.8000000000000007</v>
          </cell>
          <cell r="BQ7">
            <v>0.1</v>
          </cell>
          <cell r="BR7">
            <v>0.2</v>
          </cell>
          <cell r="BS7">
            <v>1.2</v>
          </cell>
          <cell r="BT7">
            <v>15.1</v>
          </cell>
          <cell r="BU7">
            <v>69.199999999999989</v>
          </cell>
          <cell r="BV7">
            <v>14.2</v>
          </cell>
          <cell r="BW7">
            <v>0</v>
          </cell>
          <cell r="BX7">
            <v>0</v>
          </cell>
          <cell r="BY7">
            <v>0</v>
          </cell>
          <cell r="BZ7" t="str">
            <v>nd</v>
          </cell>
          <cell r="CA7">
            <v>1</v>
          </cell>
          <cell r="CB7">
            <v>98.9</v>
          </cell>
          <cell r="CC7">
            <v>19.2</v>
          </cell>
          <cell r="CD7">
            <v>13</v>
          </cell>
          <cell r="CE7">
            <v>1.3</v>
          </cell>
          <cell r="CF7">
            <v>1.0999999999999999</v>
          </cell>
          <cell r="CG7">
            <v>0.6</v>
          </cell>
          <cell r="CH7">
            <v>13.8</v>
          </cell>
          <cell r="CI7">
            <v>7.3999999999999995</v>
          </cell>
          <cell r="CJ7">
            <v>61.8</v>
          </cell>
          <cell r="CK7">
            <v>32.800000000000004</v>
          </cell>
          <cell r="CL7">
            <v>6</v>
          </cell>
          <cell r="CM7">
            <v>3.4000000000000004</v>
          </cell>
          <cell r="CN7">
            <v>1.3</v>
          </cell>
          <cell r="CO7">
            <v>64.3</v>
          </cell>
          <cell r="CP7">
            <v>22.1</v>
          </cell>
          <cell r="CQ7">
            <v>28.799999999999997</v>
          </cell>
          <cell r="CR7">
            <v>10.9</v>
          </cell>
          <cell r="CS7">
            <v>38.299999999999997</v>
          </cell>
          <cell r="CT7">
            <v>22.7</v>
          </cell>
          <cell r="CU7">
            <v>77.3</v>
          </cell>
          <cell r="CV7">
            <v>21.6</v>
          </cell>
          <cell r="CW7">
            <v>78.400000000000006</v>
          </cell>
          <cell r="CX7">
            <v>22.2</v>
          </cell>
          <cell r="CY7">
            <v>27.6</v>
          </cell>
          <cell r="CZ7">
            <v>50.2</v>
          </cell>
          <cell r="DA7">
            <v>37</v>
          </cell>
          <cell r="DB7">
            <v>5.5</v>
          </cell>
          <cell r="DC7">
            <v>12.5</v>
          </cell>
          <cell r="DD7" t="str">
            <v>nd</v>
          </cell>
          <cell r="DE7">
            <v>59.5</v>
          </cell>
          <cell r="DF7">
            <v>18.5</v>
          </cell>
          <cell r="DG7">
            <v>8.6</v>
          </cell>
          <cell r="DH7">
            <v>18.3</v>
          </cell>
          <cell r="DI7">
            <v>12</v>
          </cell>
          <cell r="DJ7">
            <v>16.7</v>
          </cell>
          <cell r="DK7">
            <v>25.900000000000002</v>
          </cell>
          <cell r="DL7">
            <v>16.5</v>
          </cell>
          <cell r="DM7">
            <v>32.1</v>
          </cell>
          <cell r="DN7">
            <v>9.5</v>
          </cell>
          <cell r="DO7">
            <v>29.299999999999997</v>
          </cell>
          <cell r="DP7">
            <v>10.299999999999999</v>
          </cell>
          <cell r="DQ7">
            <v>2.6</v>
          </cell>
          <cell r="DR7">
            <v>8.6999999999999993</v>
          </cell>
          <cell r="DS7">
            <v>23.799999999999997</v>
          </cell>
          <cell r="DT7">
            <v>22.1</v>
          </cell>
          <cell r="DU7">
            <v>0.23690299999999997</v>
          </cell>
          <cell r="DV7">
            <v>0.34325600000000001</v>
          </cell>
          <cell r="DW7">
            <v>0</v>
          </cell>
          <cell r="DX7" t="str">
            <v>nd</v>
          </cell>
          <cell r="DY7">
            <v>0.53160499999999999</v>
          </cell>
          <cell r="DZ7">
            <v>3.0854400000000002</v>
          </cell>
          <cell r="EA7">
            <v>1.7047300000000001</v>
          </cell>
          <cell r="EB7">
            <v>1.43035</v>
          </cell>
          <cell r="EC7">
            <v>1.8095300000000001</v>
          </cell>
          <cell r="ED7">
            <v>1.2865899999999999</v>
          </cell>
          <cell r="EE7">
            <v>0.49129100000000003</v>
          </cell>
          <cell r="EF7">
            <v>17.6014543</v>
          </cell>
          <cell r="EG7">
            <v>7.5205843999999997</v>
          </cell>
          <cell r="EH7">
            <v>4.8662600000000005</v>
          </cell>
          <cell r="EI7">
            <v>3.3703799999999999</v>
          </cell>
          <cell r="EJ7">
            <v>1.81576</v>
          </cell>
          <cell r="EK7">
            <v>1.5368700000000002</v>
          </cell>
          <cell r="EL7">
            <v>27.640808700000001</v>
          </cell>
          <cell r="EM7">
            <v>5.7759600000000004</v>
          </cell>
          <cell r="EN7">
            <v>2.6308499999999997</v>
          </cell>
          <cell r="EO7">
            <v>1.8938300000000001</v>
          </cell>
          <cell r="EP7">
            <v>2.2731600000000003</v>
          </cell>
          <cell r="EQ7">
            <v>1.92997</v>
          </cell>
          <cell r="ER7">
            <v>7.0266234000000001</v>
          </cell>
          <cell r="ES7">
            <v>1.5257099999999999</v>
          </cell>
          <cell r="ET7">
            <v>0.50295400000000001</v>
          </cell>
          <cell r="EU7">
            <v>0.53420200000000007</v>
          </cell>
          <cell r="EV7">
            <v>0.29377500000000001</v>
          </cell>
          <cell r="EW7">
            <v>0.321048</v>
          </cell>
          <cell r="EX7">
            <v>0</v>
          </cell>
          <cell r="EY7">
            <v>0.63668500000000006</v>
          </cell>
          <cell r="EZ7">
            <v>0</v>
          </cell>
          <cell r="FA7" t="str">
            <v>nd</v>
          </cell>
          <cell r="FB7">
            <v>0.48027199999999998</v>
          </cell>
          <cell r="FC7">
            <v>0.63188800000000001</v>
          </cell>
          <cell r="FD7">
            <v>0.59734699999999996</v>
          </cell>
          <cell r="FE7">
            <v>0.99764999999999993</v>
          </cell>
          <cell r="FF7">
            <v>1.51325</v>
          </cell>
          <cell r="FG7">
            <v>3.3426499999999999</v>
          </cell>
          <cell r="FH7">
            <v>2.7539899999999999</v>
          </cell>
          <cell r="FI7">
            <v>2.8651900000000001</v>
          </cell>
          <cell r="FJ7">
            <v>4.1452799999999996</v>
          </cell>
          <cell r="FK7">
            <v>2.7404299999999999</v>
          </cell>
          <cell r="FL7">
            <v>5.4798100000000005</v>
          </cell>
          <cell r="FM7">
            <v>12.591496899999999</v>
          </cell>
          <cell r="FN7">
            <v>8.8513178000000003</v>
          </cell>
          <cell r="FO7">
            <v>3.5114000000000001</v>
          </cell>
          <cell r="FP7">
            <v>2.7524799999999998</v>
          </cell>
          <cell r="FQ7">
            <v>3.6554600000000002</v>
          </cell>
          <cell r="FR7">
            <v>4.5007900000000003</v>
          </cell>
          <cell r="FS7">
            <v>14.459127599999999</v>
          </cell>
          <cell r="FT7">
            <v>13.175457700000001</v>
          </cell>
          <cell r="FU7">
            <v>0.60567399999999993</v>
          </cell>
          <cell r="FV7">
            <v>1.002</v>
          </cell>
          <cell r="FW7">
            <v>0.73405500000000001</v>
          </cell>
          <cell r="FX7">
            <v>1.51511</v>
          </cell>
          <cell r="FY7">
            <v>3.01905</v>
          </cell>
          <cell r="FZ7">
            <v>3.3858299999999999</v>
          </cell>
          <cell r="GA7">
            <v>0.60198799999999997</v>
          </cell>
          <cell r="GB7">
            <v>0</v>
          </cell>
          <cell r="GC7">
            <v>0</v>
          </cell>
          <cell r="GD7">
            <v>0</v>
          </cell>
          <cell r="GE7">
            <v>0.50414999999999999</v>
          </cell>
          <cell r="GF7">
            <v>0.30587300000000001</v>
          </cell>
          <cell r="GG7">
            <v>1.5405500000000001</v>
          </cell>
          <cell r="GH7">
            <v>0.92201</v>
          </cell>
          <cell r="GI7">
            <v>1.55125</v>
          </cell>
          <cell r="GJ7">
            <v>3.0136699999999998</v>
          </cell>
          <cell r="GK7">
            <v>2.2991600000000001</v>
          </cell>
          <cell r="GL7" t="str">
            <v>nd</v>
          </cell>
          <cell r="GM7">
            <v>0.24292699999999998</v>
          </cell>
          <cell r="GN7">
            <v>1.99011</v>
          </cell>
          <cell r="GO7">
            <v>5.5658399999999997</v>
          </cell>
          <cell r="GP7">
            <v>16.262713000000002</v>
          </cell>
          <cell r="GQ7">
            <v>12.6089863</v>
          </cell>
          <cell r="GR7">
            <v>0</v>
          </cell>
          <cell r="GS7" t="str">
            <v>nd</v>
          </cell>
          <cell r="GT7">
            <v>0.12177399999999999</v>
          </cell>
          <cell r="GU7">
            <v>1.36991</v>
          </cell>
          <cell r="GV7">
            <v>17.338245099999998</v>
          </cell>
          <cell r="GW7">
            <v>23.181690999999997</v>
          </cell>
          <cell r="GX7" t="str">
            <v>nd</v>
          </cell>
          <cell r="GY7" t="str">
            <v>nd</v>
          </cell>
          <cell r="GZ7">
            <v>0</v>
          </cell>
          <cell r="HA7">
            <v>7.9690700000000003E-2</v>
          </cell>
          <cell r="HB7">
            <v>5.2275499999999999</v>
          </cell>
          <cell r="HC7">
            <v>4.7576399999999994</v>
          </cell>
          <cell r="HD7">
            <v>0</v>
          </cell>
          <cell r="HE7">
            <v>0.50964900000000002</v>
          </cell>
          <cell r="HF7">
            <v>0</v>
          </cell>
          <cell r="HG7" t="str">
            <v>nd</v>
          </cell>
          <cell r="HH7">
            <v>0.61468800000000001</v>
          </cell>
          <cell r="HI7">
            <v>0</v>
          </cell>
          <cell r="HJ7">
            <v>0</v>
          </cell>
          <cell r="HK7" t="str">
            <v>nd</v>
          </cell>
          <cell r="HL7">
            <v>0.92860000000000009</v>
          </cell>
          <cell r="HM7">
            <v>7.8687841999999995</v>
          </cell>
          <cell r="HN7">
            <v>0.80225999999999997</v>
          </cell>
          <cell r="HO7" t="str">
            <v>nd</v>
          </cell>
          <cell r="HP7">
            <v>0</v>
          </cell>
          <cell r="HQ7">
            <v>0</v>
          </cell>
          <cell r="HR7">
            <v>4.8104500000000003</v>
          </cell>
          <cell r="HS7">
            <v>28.632964000000001</v>
          </cell>
          <cell r="HT7">
            <v>3.4188900000000002</v>
          </cell>
          <cell r="HU7">
            <v>0</v>
          </cell>
          <cell r="HV7">
            <v>0</v>
          </cell>
          <cell r="HW7">
            <v>0.50428300000000004</v>
          </cell>
          <cell r="HX7">
            <v>4.2270399999999997</v>
          </cell>
          <cell r="HY7">
            <v>33.186053100000002</v>
          </cell>
          <cell r="HZ7">
            <v>4.2102599999999999</v>
          </cell>
          <cell r="IA7">
            <v>0</v>
          </cell>
          <cell r="IB7">
            <v>0</v>
          </cell>
          <cell r="IC7" t="str">
            <v>nd</v>
          </cell>
          <cell r="ID7">
            <v>1.4565299999999999</v>
          </cell>
          <cell r="IE7">
            <v>7.8919205000000003</v>
          </cell>
          <cell r="IF7">
            <v>0.70376899999999998</v>
          </cell>
          <cell r="IG7">
            <v>0</v>
          </cell>
          <cell r="IH7">
            <v>0.48961200000000005</v>
          </cell>
          <cell r="II7">
            <v>0</v>
          </cell>
          <cell r="IJ7">
            <v>9.6886300000000009E-2</v>
          </cell>
          <cell r="IK7">
            <v>0.59501199999999999</v>
          </cell>
          <cell r="IL7">
            <v>0</v>
          </cell>
          <cell r="IM7" t="str">
            <v>nd</v>
          </cell>
          <cell r="IN7">
            <v>0.35034699999999996</v>
          </cell>
          <cell r="IO7">
            <v>2.0311900000000001</v>
          </cell>
          <cell r="IP7">
            <v>5.43614</v>
          </cell>
          <cell r="IQ7">
            <v>2.0838900000000002</v>
          </cell>
          <cell r="IR7">
            <v>0</v>
          </cell>
          <cell r="IS7" t="str">
            <v>nd</v>
          </cell>
          <cell r="IT7">
            <v>0.237542</v>
          </cell>
          <cell r="IU7">
            <v>6.3668426</v>
          </cell>
          <cell r="IV7">
            <v>25.818277299999998</v>
          </cell>
          <cell r="IW7">
            <v>4.1086799999999997</v>
          </cell>
          <cell r="IX7">
            <v>0.108142</v>
          </cell>
          <cell r="IY7" t="str">
            <v>nd</v>
          </cell>
          <cell r="IZ7">
            <v>0.56567600000000007</v>
          </cell>
          <cell r="JA7">
            <v>5.5747799999999996</v>
          </cell>
          <cell r="JB7">
            <v>29.577811100000002</v>
          </cell>
          <cell r="JC7">
            <v>6.0952299999999999</v>
          </cell>
          <cell r="JD7">
            <v>0</v>
          </cell>
          <cell r="JE7">
            <v>0</v>
          </cell>
          <cell r="JF7">
            <v>0</v>
          </cell>
          <cell r="JG7">
            <v>1.09558</v>
          </cell>
          <cell r="JH7">
            <v>7.8641317000000006</v>
          </cell>
          <cell r="JI7">
            <v>1.2642100000000001</v>
          </cell>
          <cell r="JJ7">
            <v>0</v>
          </cell>
          <cell r="JK7" t="str">
            <v>nd</v>
          </cell>
          <cell r="JL7">
            <v>0</v>
          </cell>
          <cell r="JM7">
            <v>0</v>
          </cell>
          <cell r="JN7">
            <v>1.15107</v>
          </cell>
          <cell r="JO7">
            <v>0</v>
          </cell>
          <cell r="JP7">
            <v>0</v>
          </cell>
          <cell r="JQ7">
            <v>0</v>
          </cell>
          <cell r="JR7">
            <v>0</v>
          </cell>
          <cell r="JS7">
            <v>0.180066</v>
          </cell>
          <cell r="JT7">
            <v>9.6675129000000002</v>
          </cell>
          <cell r="JU7">
            <v>0</v>
          </cell>
          <cell r="JV7">
            <v>0</v>
          </cell>
          <cell r="JW7">
            <v>0</v>
          </cell>
          <cell r="JX7" t="str">
            <v>nd</v>
          </cell>
          <cell r="JY7">
            <v>0.38611800000000002</v>
          </cell>
          <cell r="JZ7">
            <v>36.319945500000003</v>
          </cell>
          <cell r="KA7">
            <v>0</v>
          </cell>
          <cell r="KB7">
            <v>0</v>
          </cell>
          <cell r="KC7">
            <v>0</v>
          </cell>
          <cell r="KD7" t="str">
            <v>nd</v>
          </cell>
          <cell r="KE7">
            <v>0.34702700000000003</v>
          </cell>
          <cell r="KF7">
            <v>41.792650700000003</v>
          </cell>
          <cell r="KG7">
            <v>0</v>
          </cell>
          <cell r="KH7">
            <v>0</v>
          </cell>
          <cell r="KI7">
            <v>0</v>
          </cell>
          <cell r="KJ7">
            <v>0</v>
          </cell>
          <cell r="KK7" t="str">
            <v>nd</v>
          </cell>
          <cell r="KL7">
            <v>9.9645081999999991</v>
          </cell>
          <cell r="KM7">
            <v>61.6</v>
          </cell>
          <cell r="KN7">
            <v>18.2</v>
          </cell>
          <cell r="KO7">
            <v>7.1999999999999993</v>
          </cell>
          <cell r="KP7">
            <v>6.3</v>
          </cell>
          <cell r="KQ7">
            <v>6.8000000000000007</v>
          </cell>
          <cell r="KR7">
            <v>0.1</v>
          </cell>
          <cell r="KS7">
            <v>59.9</v>
          </cell>
          <cell r="KT7">
            <v>18.2</v>
          </cell>
          <cell r="KU7">
            <v>7.3999999999999995</v>
          </cell>
          <cell r="KV7">
            <v>6.8000000000000007</v>
          </cell>
          <cell r="KW7">
            <v>7.6</v>
          </cell>
          <cell r="KX7">
            <v>0.1</v>
          </cell>
          <cell r="KY7"/>
          <cell r="KZ7"/>
          <cell r="LA7"/>
          <cell r="LB7"/>
          <cell r="LC7"/>
          <cell r="LD7"/>
          <cell r="LE7"/>
          <cell r="LF7"/>
          <cell r="LG7"/>
          <cell r="LH7"/>
          <cell r="LI7"/>
          <cell r="LJ7"/>
          <cell r="LK7"/>
          <cell r="LL7"/>
          <cell r="LM7"/>
          <cell r="LN7"/>
          <cell r="LO7"/>
        </row>
        <row r="8">
          <cell r="A8" t="str">
            <v>6Ens</v>
          </cell>
          <cell r="B8" t="str">
            <v>8</v>
          </cell>
          <cell r="C8" t="str">
            <v>Ensemble</v>
          </cell>
          <cell r="D8" t="str">
            <v/>
          </cell>
          <cell r="E8" t="str">
            <v>6</v>
          </cell>
          <cell r="F8">
            <v>0.5</v>
          </cell>
          <cell r="G8">
            <v>12.3</v>
          </cell>
          <cell r="H8">
            <v>45.7</v>
          </cell>
          <cell r="I8">
            <v>29.099999999999998</v>
          </cell>
          <cell r="J8">
            <v>12.4</v>
          </cell>
          <cell r="K8">
            <v>66.900000000000006</v>
          </cell>
          <cell r="L8">
            <v>13.8</v>
          </cell>
          <cell r="M8">
            <v>4.3999999999999995</v>
          </cell>
          <cell r="N8">
            <v>15</v>
          </cell>
          <cell r="O8">
            <v>32.4</v>
          </cell>
          <cell r="P8">
            <v>41.099999999999994</v>
          </cell>
          <cell r="Q8">
            <v>12.7</v>
          </cell>
          <cell r="R8">
            <v>6.3</v>
          </cell>
          <cell r="S8">
            <v>18.5</v>
          </cell>
          <cell r="T8">
            <v>31.8</v>
          </cell>
          <cell r="U8">
            <v>6.1</v>
          </cell>
          <cell r="V8">
            <v>18.899999999999999</v>
          </cell>
          <cell r="W8">
            <v>14.099999999999998</v>
          </cell>
          <cell r="X8">
            <v>76.2</v>
          </cell>
          <cell r="Y8">
            <v>9.7000000000000011</v>
          </cell>
          <cell r="Z8">
            <v>3.6999999999999997</v>
          </cell>
          <cell r="AA8">
            <v>60.3</v>
          </cell>
          <cell r="AB8">
            <v>6.6000000000000005</v>
          </cell>
          <cell r="AC8">
            <v>65.400000000000006</v>
          </cell>
          <cell r="AD8">
            <v>22.1</v>
          </cell>
          <cell r="AE8">
            <v>60.099999999999994</v>
          </cell>
          <cell r="AF8">
            <v>39.900000000000006</v>
          </cell>
          <cell r="AG8">
            <v>80.400000000000006</v>
          </cell>
          <cell r="AH8">
            <v>19.600000000000001</v>
          </cell>
          <cell r="AI8">
            <v>36.5</v>
          </cell>
          <cell r="AJ8">
            <v>9.7000000000000011</v>
          </cell>
          <cell r="AK8">
            <v>4.3</v>
          </cell>
          <cell r="AL8">
            <v>42.4</v>
          </cell>
          <cell r="AM8">
            <v>7.1999999999999993</v>
          </cell>
          <cell r="AN8">
            <v>8.6999999999999993</v>
          </cell>
          <cell r="AO8">
            <v>2.5</v>
          </cell>
          <cell r="AP8">
            <v>8.5</v>
          </cell>
          <cell r="AQ8">
            <v>56.999999999999993</v>
          </cell>
          <cell r="AR8">
            <v>23.200000000000003</v>
          </cell>
          <cell r="AS8">
            <v>44.800000000000004</v>
          </cell>
          <cell r="AT8">
            <v>22</v>
          </cell>
          <cell r="AU8">
            <v>13</v>
          </cell>
          <cell r="AV8">
            <v>10.5</v>
          </cell>
          <cell r="AW8">
            <v>7.8</v>
          </cell>
          <cell r="AX8">
            <v>1.9</v>
          </cell>
          <cell r="AY8">
            <v>6.9</v>
          </cell>
          <cell r="AZ8">
            <v>12.6</v>
          </cell>
          <cell r="BA8">
            <v>13.5</v>
          </cell>
          <cell r="BB8">
            <v>16.5</v>
          </cell>
          <cell r="BC8">
            <v>36.6</v>
          </cell>
          <cell r="BD8">
            <v>13.8</v>
          </cell>
          <cell r="BE8">
            <v>0.70000000000000007</v>
          </cell>
          <cell r="BF8">
            <v>3.1</v>
          </cell>
          <cell r="BG8">
            <v>2.5</v>
          </cell>
          <cell r="BH8">
            <v>6.5</v>
          </cell>
          <cell r="BI8">
            <v>42.5</v>
          </cell>
          <cell r="BJ8">
            <v>44.7</v>
          </cell>
          <cell r="BK8" t="str">
            <v>nd</v>
          </cell>
          <cell r="BL8">
            <v>0</v>
          </cell>
          <cell r="BM8">
            <v>0.5</v>
          </cell>
          <cell r="BN8">
            <v>11.4</v>
          </cell>
          <cell r="BO8">
            <v>83.899999999999991</v>
          </cell>
          <cell r="BP8">
            <v>4.2</v>
          </cell>
          <cell r="BQ8">
            <v>0.1</v>
          </cell>
          <cell r="BR8">
            <v>0.2</v>
          </cell>
          <cell r="BS8">
            <v>2.1</v>
          </cell>
          <cell r="BT8">
            <v>16.7</v>
          </cell>
          <cell r="BU8">
            <v>73.900000000000006</v>
          </cell>
          <cell r="BV8">
            <v>7.0000000000000009</v>
          </cell>
          <cell r="BW8">
            <v>0</v>
          </cell>
          <cell r="BX8">
            <v>0</v>
          </cell>
          <cell r="BY8">
            <v>0</v>
          </cell>
          <cell r="BZ8">
            <v>0.6</v>
          </cell>
          <cell r="CA8">
            <v>4.3999999999999995</v>
          </cell>
          <cell r="CB8">
            <v>95</v>
          </cell>
          <cell r="CC8">
            <v>18</v>
          </cell>
          <cell r="CD8">
            <v>12.9</v>
          </cell>
          <cell r="CE8">
            <v>1.3</v>
          </cell>
          <cell r="CF8">
            <v>1.7000000000000002</v>
          </cell>
          <cell r="CG8">
            <v>0.6</v>
          </cell>
          <cell r="CH8">
            <v>14.7</v>
          </cell>
          <cell r="CI8">
            <v>9.1</v>
          </cell>
          <cell r="CJ8">
            <v>62.8</v>
          </cell>
          <cell r="CK8">
            <v>43.7</v>
          </cell>
          <cell r="CL8">
            <v>10.100000000000001</v>
          </cell>
          <cell r="CM8">
            <v>2.5</v>
          </cell>
          <cell r="CN8">
            <v>1.5</v>
          </cell>
          <cell r="CO8">
            <v>53.5</v>
          </cell>
          <cell r="CP8">
            <v>15</v>
          </cell>
          <cell r="CQ8">
            <v>28.299999999999997</v>
          </cell>
          <cell r="CR8">
            <v>18.3</v>
          </cell>
          <cell r="CS8">
            <v>38.4</v>
          </cell>
          <cell r="CT8">
            <v>29.4</v>
          </cell>
          <cell r="CU8">
            <v>70.599999999999994</v>
          </cell>
          <cell r="CV8">
            <v>33.200000000000003</v>
          </cell>
          <cell r="CW8">
            <v>66.8</v>
          </cell>
          <cell r="CX8">
            <v>33.300000000000004</v>
          </cell>
          <cell r="CY8">
            <v>23.200000000000003</v>
          </cell>
          <cell r="CZ8">
            <v>43.5</v>
          </cell>
          <cell r="DA8">
            <v>45.800000000000004</v>
          </cell>
          <cell r="DB8">
            <v>5.5</v>
          </cell>
          <cell r="DC8">
            <v>12.7</v>
          </cell>
          <cell r="DD8">
            <v>0.6</v>
          </cell>
          <cell r="DE8">
            <v>60.099999999999994</v>
          </cell>
          <cell r="DF8">
            <v>14.299999999999999</v>
          </cell>
          <cell r="DG8">
            <v>6.6000000000000005</v>
          </cell>
          <cell r="DH8">
            <v>19.8</v>
          </cell>
          <cell r="DI8">
            <v>16.400000000000002</v>
          </cell>
          <cell r="DJ8">
            <v>24</v>
          </cell>
          <cell r="DK8">
            <v>18.899999999999999</v>
          </cell>
          <cell r="DL8">
            <v>11.4</v>
          </cell>
          <cell r="DM8">
            <v>37.200000000000003</v>
          </cell>
          <cell r="DN8">
            <v>12.8</v>
          </cell>
          <cell r="DO8">
            <v>35.9</v>
          </cell>
          <cell r="DP8">
            <v>11.899999999999999</v>
          </cell>
          <cell r="DQ8">
            <v>9.1999999999999993</v>
          </cell>
          <cell r="DR8">
            <v>11.4</v>
          </cell>
          <cell r="DS8">
            <v>30.5</v>
          </cell>
          <cell r="DT8">
            <v>16.7</v>
          </cell>
          <cell r="DU8">
            <v>7.10866E-2</v>
          </cell>
          <cell r="DV8">
            <v>0.23946699999999999</v>
          </cell>
          <cell r="DW8">
            <v>0</v>
          </cell>
          <cell r="DX8">
            <v>6.8212100000000012E-2</v>
          </cell>
          <cell r="DY8">
            <v>9.2075799999999999E-2</v>
          </cell>
          <cell r="DZ8">
            <v>2.55932</v>
          </cell>
          <cell r="EA8">
            <v>2.6775899999999999</v>
          </cell>
          <cell r="EB8">
            <v>2.68249</v>
          </cell>
          <cell r="EC8">
            <v>1.1436999999999999</v>
          </cell>
          <cell r="ED8">
            <v>3.0856300000000001</v>
          </cell>
          <cell r="EE8">
            <v>0.15304500000000001</v>
          </cell>
          <cell r="EF8">
            <v>18.1494924</v>
          </cell>
          <cell r="EG8">
            <v>12.4975328</v>
          </cell>
          <cell r="EH8">
            <v>5.4188800000000006</v>
          </cell>
          <cell r="EI8">
            <v>6.5674077999999998</v>
          </cell>
          <cell r="EJ8">
            <v>2.67414</v>
          </cell>
          <cell r="EK8">
            <v>0.29056999999999999</v>
          </cell>
          <cell r="EL8">
            <v>16.4787769</v>
          </cell>
          <cell r="EM8">
            <v>4.8628900000000002</v>
          </cell>
          <cell r="EN8">
            <v>2.88062</v>
          </cell>
          <cell r="EO8">
            <v>2.1170800000000001</v>
          </cell>
          <cell r="EP8">
            <v>1.6946200000000002</v>
          </cell>
          <cell r="EQ8">
            <v>1.19085</v>
          </cell>
          <cell r="ER8">
            <v>7.2952244000000004</v>
          </cell>
          <cell r="ES8">
            <v>2.0808800000000001</v>
          </cell>
          <cell r="ET8">
            <v>2.1156299999999999</v>
          </cell>
          <cell r="EU8">
            <v>0.61098000000000008</v>
          </cell>
          <cell r="EV8">
            <v>0.11858400000000001</v>
          </cell>
          <cell r="EW8">
            <v>0.18323199999999998</v>
          </cell>
          <cell r="EX8" t="str">
            <v>nd</v>
          </cell>
          <cell r="EY8">
            <v>0.19110199999999999</v>
          </cell>
          <cell r="EZ8" t="str">
            <v>nd</v>
          </cell>
          <cell r="FA8">
            <v>4.4734700000000002E-2</v>
          </cell>
          <cell r="FB8">
            <v>0.20796000000000001</v>
          </cell>
          <cell r="FC8">
            <v>0.51001299999999994</v>
          </cell>
          <cell r="FD8">
            <v>1.7220599999999999</v>
          </cell>
          <cell r="FE8">
            <v>1.48</v>
          </cell>
          <cell r="FF8">
            <v>2.4112999999999998</v>
          </cell>
          <cell r="FG8">
            <v>5.2126899999999994</v>
          </cell>
          <cell r="FH8">
            <v>1.0317499999999999</v>
          </cell>
          <cell r="FI8">
            <v>3.0196100000000001</v>
          </cell>
          <cell r="FJ8">
            <v>6.01234</v>
          </cell>
          <cell r="FK8">
            <v>7.7144960999999999</v>
          </cell>
          <cell r="FL8">
            <v>6.9423442</v>
          </cell>
          <cell r="FM8">
            <v>17.560744799999998</v>
          </cell>
          <cell r="FN8">
            <v>4.2801499999999999</v>
          </cell>
          <cell r="FO8">
            <v>3.2409699999999999</v>
          </cell>
          <cell r="FP8">
            <v>2.4443699999999997</v>
          </cell>
          <cell r="FQ8">
            <v>3.4907100000000004</v>
          </cell>
          <cell r="FR8">
            <v>4.4106500000000004</v>
          </cell>
          <cell r="FS8">
            <v>10.146047699999999</v>
          </cell>
          <cell r="FT8">
            <v>5.42638</v>
          </cell>
          <cell r="FU8">
            <v>0.14328299999999999</v>
          </cell>
          <cell r="FV8">
            <v>2.5208399999999997</v>
          </cell>
          <cell r="FW8">
            <v>0.88234999999999997</v>
          </cell>
          <cell r="FX8">
            <v>2.5680000000000001</v>
          </cell>
          <cell r="FY8">
            <v>3.4501200000000001</v>
          </cell>
          <cell r="FZ8">
            <v>2.9113099999999998</v>
          </cell>
          <cell r="GA8">
            <v>0.19876899999999997</v>
          </cell>
          <cell r="GB8" t="str">
            <v>nd</v>
          </cell>
          <cell r="GC8">
            <v>0</v>
          </cell>
          <cell r="GD8" t="str">
            <v>nd</v>
          </cell>
          <cell r="GE8">
            <v>4.9755000000000001E-2</v>
          </cell>
          <cell r="GF8">
            <v>0.28434900000000002</v>
          </cell>
          <cell r="GG8">
            <v>2.2326299999999999</v>
          </cell>
          <cell r="GH8">
            <v>1.2983800000000001</v>
          </cell>
          <cell r="GI8">
            <v>1.7970300000000001</v>
          </cell>
          <cell r="GJ8">
            <v>4.5912600000000001</v>
          </cell>
          <cell r="GK8">
            <v>2.1818500000000003</v>
          </cell>
          <cell r="GL8">
            <v>0.15582099999999999</v>
          </cell>
          <cell r="GM8">
            <v>0.64359100000000002</v>
          </cell>
          <cell r="GN8">
            <v>1.1401400000000002</v>
          </cell>
          <cell r="GO8">
            <v>3.6736900000000001</v>
          </cell>
          <cell r="GP8">
            <v>19.802530099999998</v>
          </cell>
          <cell r="GQ8">
            <v>19.974756299999999</v>
          </cell>
          <cell r="GR8">
            <v>5.8168200000000003E-2</v>
          </cell>
          <cell r="GS8">
            <v>0</v>
          </cell>
          <cell r="GT8" t="str">
            <v>nd</v>
          </cell>
          <cell r="GU8">
            <v>0.50671300000000008</v>
          </cell>
          <cell r="GV8">
            <v>11.3384529</v>
          </cell>
          <cell r="GW8">
            <v>17.232038199999998</v>
          </cell>
          <cell r="GX8" t="str">
            <v>nd</v>
          </cell>
          <cell r="GY8">
            <v>0</v>
          </cell>
          <cell r="GZ8">
            <v>0</v>
          </cell>
          <cell r="HA8">
            <v>0.55463200000000001</v>
          </cell>
          <cell r="HB8">
            <v>6.6576488000000005</v>
          </cell>
          <cell r="HC8">
            <v>5.3315599999999996</v>
          </cell>
          <cell r="HD8">
            <v>0</v>
          </cell>
          <cell r="HE8">
            <v>0.25381500000000001</v>
          </cell>
          <cell r="HF8">
            <v>0</v>
          </cell>
          <cell r="HG8">
            <v>0.16714999999999999</v>
          </cell>
          <cell r="HH8">
            <v>5.66464E-2</v>
          </cell>
          <cell r="HI8">
            <v>0</v>
          </cell>
          <cell r="HJ8">
            <v>0</v>
          </cell>
          <cell r="HK8">
            <v>0</v>
          </cell>
          <cell r="HL8">
            <v>1.4600900000000001</v>
          </cell>
          <cell r="HM8">
            <v>10.6607226</v>
          </cell>
          <cell r="HN8">
            <v>0.36239900000000003</v>
          </cell>
          <cell r="HO8" t="str">
            <v>nd</v>
          </cell>
          <cell r="HP8">
            <v>0</v>
          </cell>
          <cell r="HQ8" t="str">
            <v>nd</v>
          </cell>
          <cell r="HR8">
            <v>5.4289800000000001</v>
          </cell>
          <cell r="HS8">
            <v>38.429009499999999</v>
          </cell>
          <cell r="HT8">
            <v>1.40513</v>
          </cell>
          <cell r="HU8" t="str">
            <v>nd</v>
          </cell>
          <cell r="HV8">
            <v>0</v>
          </cell>
          <cell r="HW8">
            <v>0.279609</v>
          </cell>
          <cell r="HX8">
            <v>2.5336999999999996</v>
          </cell>
          <cell r="HY8">
            <v>24.3642164</v>
          </cell>
          <cell r="HZ8">
            <v>1.9982799999999998</v>
          </cell>
          <cell r="IA8">
            <v>0</v>
          </cell>
          <cell r="IB8">
            <v>0</v>
          </cell>
          <cell r="IC8" t="str">
            <v>nd</v>
          </cell>
          <cell r="ID8">
            <v>1.85286</v>
          </cell>
          <cell r="IE8">
            <v>10.100398999999999</v>
          </cell>
          <cell r="IF8">
            <v>0.419514</v>
          </cell>
          <cell r="IG8">
            <v>0</v>
          </cell>
          <cell r="IH8">
            <v>0.154229</v>
          </cell>
          <cell r="II8" t="str">
            <v>nd</v>
          </cell>
          <cell r="IJ8">
            <v>0.277617</v>
          </cell>
          <cell r="IK8">
            <v>3.3663399999999996E-2</v>
          </cell>
          <cell r="IL8">
            <v>0</v>
          </cell>
          <cell r="IM8">
            <v>0</v>
          </cell>
          <cell r="IN8">
            <v>0.22110099999999999</v>
          </cell>
          <cell r="IO8">
            <v>4.5882699999999996</v>
          </cell>
          <cell r="IP8">
            <v>6.4001874000000001</v>
          </cell>
          <cell r="IQ8">
            <v>0.81074999999999997</v>
          </cell>
          <cell r="IR8">
            <v>8.5586300000000004E-2</v>
          </cell>
          <cell r="IS8">
            <v>6.9228400000000009E-2</v>
          </cell>
          <cell r="IT8">
            <v>1.6477100000000002</v>
          </cell>
          <cell r="IU8">
            <v>6.2056699999999996</v>
          </cell>
          <cell r="IV8">
            <v>35.2570671</v>
          </cell>
          <cell r="IW8">
            <v>2.3524599999999998</v>
          </cell>
          <cell r="IX8" t="str">
            <v>nd</v>
          </cell>
          <cell r="IY8">
            <v>0.102196</v>
          </cell>
          <cell r="IZ8">
            <v>0.14747499999999999</v>
          </cell>
          <cell r="JA8">
            <v>4.2812000000000001</v>
          </cell>
          <cell r="JB8">
            <v>22.215222600000001</v>
          </cell>
          <cell r="JC8">
            <v>2.64419</v>
          </cell>
          <cell r="JD8">
            <v>0</v>
          </cell>
          <cell r="JE8" t="str">
            <v>nd</v>
          </cell>
          <cell r="JF8" t="str">
            <v>nd</v>
          </cell>
          <cell r="JG8">
            <v>1.4883900000000001</v>
          </cell>
          <cell r="JH8">
            <v>9.7484225000000002</v>
          </cell>
          <cell r="JI8">
            <v>1.18225</v>
          </cell>
          <cell r="JJ8">
            <v>0</v>
          </cell>
          <cell r="JK8" t="str">
            <v>nd</v>
          </cell>
          <cell r="JL8">
            <v>0</v>
          </cell>
          <cell r="JM8">
            <v>0</v>
          </cell>
          <cell r="JN8">
            <v>0.348271</v>
          </cell>
          <cell r="JO8">
            <v>0</v>
          </cell>
          <cell r="JP8">
            <v>0</v>
          </cell>
          <cell r="JQ8">
            <v>0</v>
          </cell>
          <cell r="JR8">
            <v>0.45315</v>
          </cell>
          <cell r="JS8">
            <v>1.6169499999999999</v>
          </cell>
          <cell r="JT8">
            <v>10.2846416</v>
          </cell>
          <cell r="JU8">
            <v>0</v>
          </cell>
          <cell r="JV8">
            <v>0</v>
          </cell>
          <cell r="JW8">
            <v>0</v>
          </cell>
          <cell r="JX8">
            <v>0.102468</v>
          </cell>
          <cell r="JY8">
            <v>2.2779799999999999</v>
          </cell>
          <cell r="JZ8">
            <v>43.178216200000001</v>
          </cell>
          <cell r="KA8">
            <v>0</v>
          </cell>
          <cell r="KB8">
            <v>0</v>
          </cell>
          <cell r="KC8">
            <v>0</v>
          </cell>
          <cell r="KD8" t="str">
            <v>nd</v>
          </cell>
          <cell r="KE8">
            <v>0.39014900000000002</v>
          </cell>
          <cell r="KF8">
            <v>28.663651499999997</v>
          </cell>
          <cell r="KG8">
            <v>0</v>
          </cell>
          <cell r="KH8">
            <v>0</v>
          </cell>
          <cell r="KI8">
            <v>0</v>
          </cell>
          <cell r="KJ8">
            <v>0</v>
          </cell>
          <cell r="KK8">
            <v>0.107015</v>
          </cell>
          <cell r="KL8">
            <v>12.45312</v>
          </cell>
          <cell r="KM8">
            <v>56.999999999999993</v>
          </cell>
          <cell r="KN8">
            <v>22.5</v>
          </cell>
          <cell r="KO8">
            <v>6.5</v>
          </cell>
          <cell r="KP8">
            <v>6.3</v>
          </cell>
          <cell r="KQ8">
            <v>7.3999999999999995</v>
          </cell>
          <cell r="KR8">
            <v>0.3</v>
          </cell>
          <cell r="KS8">
            <v>55.600000000000009</v>
          </cell>
          <cell r="KT8">
            <v>22.400000000000002</v>
          </cell>
          <cell r="KU8">
            <v>6.6000000000000005</v>
          </cell>
          <cell r="KV8">
            <v>7.0000000000000009</v>
          </cell>
          <cell r="KW8">
            <v>8.2000000000000011</v>
          </cell>
          <cell r="KX8">
            <v>0.3</v>
          </cell>
          <cell r="KY8"/>
          <cell r="KZ8"/>
          <cell r="LA8"/>
          <cell r="LB8"/>
          <cell r="LC8"/>
          <cell r="LD8"/>
          <cell r="LE8"/>
          <cell r="LF8"/>
          <cell r="LG8"/>
          <cell r="LH8"/>
          <cell r="LI8"/>
          <cell r="LJ8"/>
          <cell r="LK8"/>
          <cell r="LL8"/>
          <cell r="LM8"/>
          <cell r="LN8"/>
          <cell r="LO8"/>
        </row>
        <row r="9">
          <cell r="A9" t="str">
            <v>EnsC1</v>
          </cell>
          <cell r="B9" t="str">
            <v>9</v>
          </cell>
          <cell r="C9" t="str">
            <v>NAF 17</v>
          </cell>
          <cell r="D9" t="str">
            <v>C1</v>
          </cell>
          <cell r="E9" t="str">
            <v/>
          </cell>
          <cell r="F9" t="str">
            <v>nd</v>
          </cell>
          <cell r="G9">
            <v>5.0999999999999996</v>
          </cell>
          <cell r="H9">
            <v>27.800000000000004</v>
          </cell>
          <cell r="I9">
            <v>58.099999999999994</v>
          </cell>
          <cell r="J9">
            <v>8.6999999999999993</v>
          </cell>
          <cell r="K9">
            <v>80.2</v>
          </cell>
          <cell r="L9">
            <v>13.700000000000001</v>
          </cell>
          <cell r="M9">
            <v>2.4</v>
          </cell>
          <cell r="N9">
            <v>3.5999999999999996</v>
          </cell>
          <cell r="O9">
            <v>16.5</v>
          </cell>
          <cell r="P9">
            <v>31.900000000000002</v>
          </cell>
          <cell r="Q9">
            <v>10.299999999999999</v>
          </cell>
          <cell r="R9">
            <v>5.3</v>
          </cell>
          <cell r="S9">
            <v>16.2</v>
          </cell>
          <cell r="T9">
            <v>38.700000000000003</v>
          </cell>
          <cell r="U9">
            <v>4.8</v>
          </cell>
          <cell r="V9">
            <v>20.9</v>
          </cell>
          <cell r="W9">
            <v>9.1</v>
          </cell>
          <cell r="X9">
            <v>84.2</v>
          </cell>
          <cell r="Y9">
            <v>6.7</v>
          </cell>
          <cell r="Z9" t="str">
            <v>nd</v>
          </cell>
          <cell r="AA9">
            <v>44.9</v>
          </cell>
          <cell r="AB9">
            <v>9</v>
          </cell>
          <cell r="AC9">
            <v>75.3</v>
          </cell>
          <cell r="AD9">
            <v>10.100000000000001</v>
          </cell>
          <cell r="AE9">
            <v>56.999999999999993</v>
          </cell>
          <cell r="AF9">
            <v>43</v>
          </cell>
          <cell r="AG9">
            <v>80.900000000000006</v>
          </cell>
          <cell r="AH9">
            <v>19.100000000000001</v>
          </cell>
          <cell r="AI9">
            <v>28.9</v>
          </cell>
          <cell r="AJ9">
            <v>4.5999999999999996</v>
          </cell>
          <cell r="AK9">
            <v>1.4000000000000001</v>
          </cell>
          <cell r="AL9">
            <v>64.400000000000006</v>
          </cell>
          <cell r="AM9">
            <v>0.70000000000000007</v>
          </cell>
          <cell r="AN9">
            <v>3.6999999999999997</v>
          </cell>
          <cell r="AO9">
            <v>1.6</v>
          </cell>
          <cell r="AP9">
            <v>0.89999999999999991</v>
          </cell>
          <cell r="AQ9">
            <v>87.3</v>
          </cell>
          <cell r="AR9">
            <v>6.5</v>
          </cell>
          <cell r="AS9">
            <v>71.399999999999991</v>
          </cell>
          <cell r="AT9">
            <v>16.3</v>
          </cell>
          <cell r="AU9">
            <v>6</v>
          </cell>
          <cell r="AV9">
            <v>1.4000000000000001</v>
          </cell>
          <cell r="AW9">
            <v>1.4000000000000001</v>
          </cell>
          <cell r="AX9">
            <v>3.5000000000000004</v>
          </cell>
          <cell r="AY9">
            <v>0.70000000000000007</v>
          </cell>
          <cell r="AZ9">
            <v>3.4000000000000004</v>
          </cell>
          <cell r="BA9">
            <v>4.2</v>
          </cell>
          <cell r="BB9">
            <v>10.8</v>
          </cell>
          <cell r="BC9">
            <v>39.300000000000004</v>
          </cell>
          <cell r="BD9">
            <v>41.6</v>
          </cell>
          <cell r="BE9" t="str">
            <v>nd</v>
          </cell>
          <cell r="BF9">
            <v>1.0999999999999999</v>
          </cell>
          <cell r="BG9">
            <v>1</v>
          </cell>
          <cell r="BH9">
            <v>4.8</v>
          </cell>
          <cell r="BI9">
            <v>38.299999999999997</v>
          </cell>
          <cell r="BJ9">
            <v>54.500000000000007</v>
          </cell>
          <cell r="BK9">
            <v>0</v>
          </cell>
          <cell r="BL9" t="str">
            <v>nd</v>
          </cell>
          <cell r="BM9" t="str">
            <v>nd</v>
          </cell>
          <cell r="BN9">
            <v>9.9</v>
          </cell>
          <cell r="BO9">
            <v>73.3</v>
          </cell>
          <cell r="BP9">
            <v>15.299999999999999</v>
          </cell>
          <cell r="BQ9" t="str">
            <v>nd</v>
          </cell>
          <cell r="BR9">
            <v>0</v>
          </cell>
          <cell r="BS9">
            <v>1.6</v>
          </cell>
          <cell r="BT9">
            <v>12.6</v>
          </cell>
          <cell r="BU9">
            <v>71</v>
          </cell>
          <cell r="BV9">
            <v>14.499999999999998</v>
          </cell>
          <cell r="BW9">
            <v>0</v>
          </cell>
          <cell r="BX9">
            <v>0</v>
          </cell>
          <cell r="BY9">
            <v>0</v>
          </cell>
          <cell r="BZ9" t="str">
            <v>nd</v>
          </cell>
          <cell r="CA9" t="str">
            <v>nd</v>
          </cell>
          <cell r="CB9">
            <v>99.4</v>
          </cell>
          <cell r="CC9">
            <v>45.300000000000004</v>
          </cell>
          <cell r="CD9">
            <v>7.5</v>
          </cell>
          <cell r="CE9">
            <v>1.9</v>
          </cell>
          <cell r="CF9">
            <v>2.2999999999999998</v>
          </cell>
          <cell r="CG9">
            <v>0.4</v>
          </cell>
          <cell r="CH9">
            <v>13.900000000000002</v>
          </cell>
          <cell r="CI9">
            <v>5.0999999999999996</v>
          </cell>
          <cell r="CJ9">
            <v>44.6</v>
          </cell>
          <cell r="CK9">
            <v>29.9</v>
          </cell>
          <cell r="CL9">
            <v>5.2</v>
          </cell>
          <cell r="CM9">
            <v>2.7</v>
          </cell>
          <cell r="CN9">
            <v>0.8</v>
          </cell>
          <cell r="CO9">
            <v>68.100000000000009</v>
          </cell>
          <cell r="CP9">
            <v>25</v>
          </cell>
          <cell r="CQ9">
            <v>39.700000000000003</v>
          </cell>
          <cell r="CR9">
            <v>7.3</v>
          </cell>
          <cell r="CS9">
            <v>28.000000000000004</v>
          </cell>
          <cell r="CT9">
            <v>22</v>
          </cell>
          <cell r="CU9">
            <v>78</v>
          </cell>
          <cell r="CV9">
            <v>10.4</v>
          </cell>
          <cell r="CW9">
            <v>89.600000000000009</v>
          </cell>
          <cell r="CX9">
            <v>16.5</v>
          </cell>
          <cell r="CY9">
            <v>47.3</v>
          </cell>
          <cell r="CZ9">
            <v>36.199999999999996</v>
          </cell>
          <cell r="DA9">
            <v>29.799999999999997</v>
          </cell>
          <cell r="DB9">
            <v>14.6</v>
          </cell>
          <cell r="DC9">
            <v>27.800000000000004</v>
          </cell>
          <cell r="DD9">
            <v>3.3000000000000003</v>
          </cell>
          <cell r="DE9">
            <v>39.1</v>
          </cell>
          <cell r="DF9">
            <v>32.4</v>
          </cell>
          <cell r="DG9">
            <v>5.8999999999999995</v>
          </cell>
          <cell r="DH9">
            <v>21.5</v>
          </cell>
          <cell r="DI9">
            <v>9.6</v>
          </cell>
          <cell r="DJ9">
            <v>13.4</v>
          </cell>
          <cell r="DK9">
            <v>17.2</v>
          </cell>
          <cell r="DL9">
            <v>28.9</v>
          </cell>
          <cell r="DM9">
            <v>33.700000000000003</v>
          </cell>
          <cell r="DN9">
            <v>7.7</v>
          </cell>
          <cell r="DO9">
            <v>19.600000000000001</v>
          </cell>
          <cell r="DP9">
            <v>5.3</v>
          </cell>
          <cell r="DQ9">
            <v>2.2999999999999998</v>
          </cell>
          <cell r="DR9">
            <v>7.3999999999999995</v>
          </cell>
          <cell r="DS9">
            <v>14.7</v>
          </cell>
          <cell r="DT9">
            <v>15.2</v>
          </cell>
          <cell r="DU9">
            <v>0</v>
          </cell>
          <cell r="DV9" t="str">
            <v>nd</v>
          </cell>
          <cell r="DW9">
            <v>0</v>
          </cell>
          <cell r="DX9">
            <v>0</v>
          </cell>
          <cell r="DY9">
            <v>0</v>
          </cell>
          <cell r="DZ9">
            <v>2.6256399999999998</v>
          </cell>
          <cell r="EA9">
            <v>1.31871</v>
          </cell>
          <cell r="EB9">
            <v>0.237041</v>
          </cell>
          <cell r="EC9" t="str">
            <v>nd</v>
          </cell>
          <cell r="ED9" t="str">
            <v>nd</v>
          </cell>
          <cell r="EE9" t="str">
            <v>nd</v>
          </cell>
          <cell r="EF9">
            <v>17.757003599999997</v>
          </cell>
          <cell r="EG9">
            <v>5.6304600000000002</v>
          </cell>
          <cell r="EH9">
            <v>3.6940099999999996</v>
          </cell>
          <cell r="EI9">
            <v>0.96456000000000008</v>
          </cell>
          <cell r="EJ9" t="str">
            <v>nd</v>
          </cell>
          <cell r="EK9" t="str">
            <v>nd</v>
          </cell>
          <cell r="EL9">
            <v>44.243002300000001</v>
          </cell>
          <cell r="EM9">
            <v>8.2473218999999993</v>
          </cell>
          <cell r="EN9">
            <v>1.92056</v>
          </cell>
          <cell r="EO9" t="str">
            <v>nd</v>
          </cell>
          <cell r="EP9">
            <v>0.59193200000000001</v>
          </cell>
          <cell r="EQ9">
            <v>2.1773899999999999</v>
          </cell>
          <cell r="ER9">
            <v>6.6999738000000004</v>
          </cell>
          <cell r="ES9">
            <v>1.19232</v>
          </cell>
          <cell r="ET9" t="str">
            <v>nd</v>
          </cell>
          <cell r="EU9">
            <v>0</v>
          </cell>
          <cell r="EV9" t="str">
            <v>nd</v>
          </cell>
          <cell r="EW9" t="str">
            <v>nd</v>
          </cell>
          <cell r="EX9">
            <v>0</v>
          </cell>
          <cell r="EY9">
            <v>0</v>
          </cell>
          <cell r="EZ9">
            <v>0</v>
          </cell>
          <cell r="FA9">
            <v>0</v>
          </cell>
          <cell r="FB9" t="str">
            <v>nd</v>
          </cell>
          <cell r="FC9">
            <v>0</v>
          </cell>
          <cell r="FD9" t="str">
            <v>nd</v>
          </cell>
          <cell r="FE9" t="str">
            <v>nd</v>
          </cell>
          <cell r="FF9" t="str">
            <v>nd</v>
          </cell>
          <cell r="FG9">
            <v>2.21943</v>
          </cell>
          <cell r="FH9">
            <v>2.3826400000000003</v>
          </cell>
          <cell r="FI9">
            <v>0.31736700000000001</v>
          </cell>
          <cell r="FJ9">
            <v>1.5779300000000001</v>
          </cell>
          <cell r="FK9">
            <v>1.1771</v>
          </cell>
          <cell r="FL9">
            <v>1.9160900000000001</v>
          </cell>
          <cell r="FM9">
            <v>9.5459481000000004</v>
          </cell>
          <cell r="FN9">
            <v>14.481716199999999</v>
          </cell>
          <cell r="FO9" t="str">
            <v>nd</v>
          </cell>
          <cell r="FP9">
            <v>0.86958000000000002</v>
          </cell>
          <cell r="FQ9">
            <v>2.2584499999999998</v>
          </cell>
          <cell r="FR9">
            <v>8.2929960000000005</v>
          </cell>
          <cell r="FS9">
            <v>24.285628299999999</v>
          </cell>
          <cell r="FT9">
            <v>21.497138099999997</v>
          </cell>
          <cell r="FU9">
            <v>0</v>
          </cell>
          <cell r="FV9">
            <v>0.45170399999999999</v>
          </cell>
          <cell r="FW9">
            <v>0.58999500000000005</v>
          </cell>
          <cell r="FX9">
            <v>0.43226000000000003</v>
          </cell>
          <cell r="FY9">
            <v>3.3776000000000002</v>
          </cell>
          <cell r="FZ9">
            <v>2.9011200000000001</v>
          </cell>
          <cell r="GA9">
            <v>0</v>
          </cell>
          <cell r="GB9">
            <v>0</v>
          </cell>
          <cell r="GC9">
            <v>0</v>
          </cell>
          <cell r="GD9">
            <v>0</v>
          </cell>
          <cell r="GE9">
            <v>0</v>
          </cell>
          <cell r="GF9" t="str">
            <v>nd</v>
          </cell>
          <cell r="GG9">
            <v>0.90516999999999992</v>
          </cell>
          <cell r="GH9" t="str">
            <v>nd</v>
          </cell>
          <cell r="GI9">
            <v>0.647393</v>
          </cell>
          <cell r="GJ9">
            <v>1.1329799999999999</v>
          </cell>
          <cell r="GK9">
            <v>2.4280499999999998</v>
          </cell>
          <cell r="GL9">
            <v>0</v>
          </cell>
          <cell r="GM9">
            <v>0</v>
          </cell>
          <cell r="GN9">
            <v>0.47022699999999995</v>
          </cell>
          <cell r="GO9">
            <v>2.5754800000000002</v>
          </cell>
          <cell r="GP9">
            <v>8.7981005999999997</v>
          </cell>
          <cell r="GQ9">
            <v>16.0807909</v>
          </cell>
          <cell r="GR9">
            <v>0</v>
          </cell>
          <cell r="GS9">
            <v>0</v>
          </cell>
          <cell r="GT9" t="str">
            <v>nd</v>
          </cell>
          <cell r="GU9">
            <v>1.4106099999999999</v>
          </cell>
          <cell r="GV9">
            <v>26.173836700000003</v>
          </cell>
          <cell r="GW9">
            <v>30.502613</v>
          </cell>
          <cell r="GX9">
            <v>0</v>
          </cell>
          <cell r="GY9">
            <v>0</v>
          </cell>
          <cell r="GZ9">
            <v>0</v>
          </cell>
          <cell r="HA9" t="str">
            <v>nd</v>
          </cell>
          <cell r="HB9">
            <v>2.3132699999999997</v>
          </cell>
          <cell r="HC9">
            <v>5.3275600000000001</v>
          </cell>
          <cell r="HD9">
            <v>0</v>
          </cell>
          <cell r="HE9" t="str">
            <v>nd</v>
          </cell>
          <cell r="HF9">
            <v>0</v>
          </cell>
          <cell r="HG9">
            <v>0</v>
          </cell>
          <cell r="HH9">
            <v>0</v>
          </cell>
          <cell r="HI9">
            <v>0</v>
          </cell>
          <cell r="HJ9" t="str">
            <v>nd</v>
          </cell>
          <cell r="HK9">
            <v>0</v>
          </cell>
          <cell r="HL9">
            <v>0.48315299999999994</v>
          </cell>
          <cell r="HM9">
            <v>3.4530199999999995</v>
          </cell>
          <cell r="HN9">
            <v>0.85533999999999988</v>
          </cell>
          <cell r="HO9">
            <v>0</v>
          </cell>
          <cell r="HP9">
            <v>0</v>
          </cell>
          <cell r="HQ9">
            <v>0</v>
          </cell>
          <cell r="HR9">
            <v>1.8088199999999999</v>
          </cell>
          <cell r="HS9">
            <v>21.350093000000001</v>
          </cell>
          <cell r="HT9">
            <v>4.7272599999999994</v>
          </cell>
          <cell r="HU9">
            <v>0</v>
          </cell>
          <cell r="HV9">
            <v>0</v>
          </cell>
          <cell r="HW9" t="str">
            <v>nd</v>
          </cell>
          <cell r="HX9">
            <v>6.1726299999999998</v>
          </cell>
          <cell r="HY9">
            <v>42.097359900000001</v>
          </cell>
          <cell r="HZ9">
            <v>8.5842866999999998</v>
          </cell>
          <cell r="IA9">
            <v>0</v>
          </cell>
          <cell r="IB9">
            <v>0</v>
          </cell>
          <cell r="IC9">
            <v>0</v>
          </cell>
          <cell r="ID9">
            <v>1.4737899999999999</v>
          </cell>
          <cell r="IE9">
            <v>6.4245633999999994</v>
          </cell>
          <cell r="IF9">
            <v>0.82275999999999994</v>
          </cell>
          <cell r="IG9">
            <v>0</v>
          </cell>
          <cell r="IH9">
            <v>0</v>
          </cell>
          <cell r="II9">
            <v>0</v>
          </cell>
          <cell r="IJ9">
            <v>0</v>
          </cell>
          <cell r="IK9" t="str">
            <v>nd</v>
          </cell>
          <cell r="IL9">
            <v>0</v>
          </cell>
          <cell r="IM9">
            <v>0</v>
          </cell>
          <cell r="IN9">
            <v>0</v>
          </cell>
          <cell r="IO9">
            <v>0.45792500000000003</v>
          </cell>
          <cell r="IP9">
            <v>2.4239299999999999</v>
          </cell>
          <cell r="IQ9">
            <v>1.9199899999999999</v>
          </cell>
          <cell r="IR9">
            <v>0</v>
          </cell>
          <cell r="IS9">
            <v>0</v>
          </cell>
          <cell r="IT9" t="str">
            <v>nd</v>
          </cell>
          <cell r="IU9">
            <v>5.0839799999999995</v>
          </cell>
          <cell r="IV9">
            <v>18.347536600000002</v>
          </cell>
          <cell r="IW9">
            <v>4.1253299999999999</v>
          </cell>
          <cell r="IX9" t="str">
            <v>nd</v>
          </cell>
          <cell r="IY9">
            <v>0</v>
          </cell>
          <cell r="IZ9">
            <v>1.2803899999999999</v>
          </cell>
          <cell r="JA9">
            <v>6.0352100000000002</v>
          </cell>
          <cell r="JB9">
            <v>43.051670299999998</v>
          </cell>
          <cell r="JC9">
            <v>7.4171898000000001</v>
          </cell>
          <cell r="JD9">
            <v>0</v>
          </cell>
          <cell r="JE9">
            <v>0</v>
          </cell>
          <cell r="JF9">
            <v>0</v>
          </cell>
          <cell r="JG9">
            <v>1.1703600000000001</v>
          </cell>
          <cell r="JH9">
            <v>6.6737589000000002</v>
          </cell>
          <cell r="JI9">
            <v>1.1231200000000001</v>
          </cell>
          <cell r="JJ9">
            <v>0</v>
          </cell>
          <cell r="JK9">
            <v>0</v>
          </cell>
          <cell r="JL9">
            <v>0</v>
          </cell>
          <cell r="JM9">
            <v>0</v>
          </cell>
          <cell r="JN9" t="str">
            <v>nd</v>
          </cell>
          <cell r="JO9">
            <v>0</v>
          </cell>
          <cell r="JP9">
            <v>0</v>
          </cell>
          <cell r="JQ9">
            <v>0</v>
          </cell>
          <cell r="JR9" t="str">
            <v>nd</v>
          </cell>
          <cell r="JS9">
            <v>0</v>
          </cell>
          <cell r="JT9">
            <v>5.2092700000000001</v>
          </cell>
          <cell r="JU9">
            <v>0</v>
          </cell>
          <cell r="JV9">
            <v>0</v>
          </cell>
          <cell r="JW9">
            <v>0</v>
          </cell>
          <cell r="JX9">
            <v>0</v>
          </cell>
          <cell r="JY9" t="str">
            <v>nd</v>
          </cell>
          <cell r="JZ9">
            <v>27.805581200000002</v>
          </cell>
          <cell r="KA9">
            <v>0</v>
          </cell>
          <cell r="KB9">
            <v>0</v>
          </cell>
          <cell r="KC9">
            <v>0</v>
          </cell>
          <cell r="KD9">
            <v>0</v>
          </cell>
          <cell r="KE9">
            <v>0</v>
          </cell>
          <cell r="KF9">
            <v>57.946838599999992</v>
          </cell>
          <cell r="KG9">
            <v>0</v>
          </cell>
          <cell r="KH9">
            <v>0</v>
          </cell>
          <cell r="KI9">
            <v>0</v>
          </cell>
          <cell r="KJ9">
            <v>0</v>
          </cell>
          <cell r="KK9">
            <v>0</v>
          </cell>
          <cell r="KL9">
            <v>8.1554567999999996</v>
          </cell>
          <cell r="KM9">
            <v>74.400000000000006</v>
          </cell>
          <cell r="KN9">
            <v>8</v>
          </cell>
          <cell r="KO9">
            <v>4.2</v>
          </cell>
          <cell r="KP9">
            <v>6.6000000000000005</v>
          </cell>
          <cell r="KQ9">
            <v>6.7</v>
          </cell>
          <cell r="KR9">
            <v>0</v>
          </cell>
          <cell r="KS9">
            <v>72.599999999999994</v>
          </cell>
          <cell r="KT9">
            <v>8.5</v>
          </cell>
          <cell r="KU9">
            <v>4.5</v>
          </cell>
          <cell r="KV9">
            <v>7.0000000000000009</v>
          </cell>
          <cell r="KW9">
            <v>7.3999999999999995</v>
          </cell>
          <cell r="KX9">
            <v>0</v>
          </cell>
          <cell r="KY9"/>
          <cell r="KZ9"/>
          <cell r="LA9"/>
          <cell r="LB9"/>
          <cell r="LC9"/>
          <cell r="LD9"/>
          <cell r="LE9"/>
          <cell r="LF9"/>
          <cell r="LG9"/>
          <cell r="LH9"/>
          <cell r="LI9"/>
          <cell r="LJ9"/>
          <cell r="LK9"/>
          <cell r="LL9"/>
          <cell r="LM9"/>
          <cell r="LN9"/>
          <cell r="LO9"/>
        </row>
        <row r="10">
          <cell r="A10" t="str">
            <v>1C1</v>
          </cell>
          <cell r="B10" t="str">
            <v>10</v>
          </cell>
          <cell r="C10" t="str">
            <v>NAF 17</v>
          </cell>
          <cell r="D10" t="str">
            <v>C1</v>
          </cell>
          <cell r="E10" t="str">
            <v>1</v>
          </cell>
          <cell r="F10">
            <v>0</v>
          </cell>
          <cell r="G10">
            <v>10.7</v>
          </cell>
          <cell r="H10">
            <v>34.599999999999994</v>
          </cell>
          <cell r="I10">
            <v>42.9</v>
          </cell>
          <cell r="J10">
            <v>11.799999999999999</v>
          </cell>
          <cell r="K10">
            <v>67.100000000000009</v>
          </cell>
          <cell r="L10">
            <v>17.899999999999999</v>
          </cell>
          <cell r="M10">
            <v>0</v>
          </cell>
          <cell r="N10" t="str">
            <v>nd</v>
          </cell>
          <cell r="O10">
            <v>16.3</v>
          </cell>
          <cell r="P10">
            <v>24.099999999999998</v>
          </cell>
          <cell r="Q10">
            <v>14.7</v>
          </cell>
          <cell r="R10" t="str">
            <v>nd</v>
          </cell>
          <cell r="S10">
            <v>17.599999999999998</v>
          </cell>
          <cell r="T10">
            <v>40.1</v>
          </cell>
          <cell r="U10" t="str">
            <v>nd</v>
          </cell>
          <cell r="V10">
            <v>18.899999999999999</v>
          </cell>
          <cell r="W10">
            <v>18.099999999999998</v>
          </cell>
          <cell r="X10">
            <v>74.3</v>
          </cell>
          <cell r="Y10">
            <v>7.5</v>
          </cell>
          <cell r="Z10">
            <v>0</v>
          </cell>
          <cell r="AA10" t="str">
            <v>nd</v>
          </cell>
          <cell r="AB10" t="str">
            <v>nd</v>
          </cell>
          <cell r="AC10">
            <v>72.399999999999991</v>
          </cell>
          <cell r="AD10">
            <v>0</v>
          </cell>
          <cell r="AE10">
            <v>30.599999999999998</v>
          </cell>
          <cell r="AF10">
            <v>69.399999999999991</v>
          </cell>
          <cell r="AG10">
            <v>40.1</v>
          </cell>
          <cell r="AH10">
            <v>59.9</v>
          </cell>
          <cell r="AI10">
            <v>55.900000000000006</v>
          </cell>
          <cell r="AJ10" t="str">
            <v>nd</v>
          </cell>
          <cell r="AK10" t="str">
            <v>nd</v>
          </cell>
          <cell r="AL10">
            <v>32.700000000000003</v>
          </cell>
          <cell r="AM10">
            <v>0</v>
          </cell>
          <cell r="AN10">
            <v>0</v>
          </cell>
          <cell r="AO10">
            <v>0</v>
          </cell>
          <cell r="AP10" t="str">
            <v>nd</v>
          </cell>
          <cell r="AQ10">
            <v>92.2</v>
          </cell>
          <cell r="AR10">
            <v>0</v>
          </cell>
          <cell r="AS10">
            <v>84.6</v>
          </cell>
          <cell r="AT10">
            <v>8.9</v>
          </cell>
          <cell r="AU10" t="str">
            <v>nd</v>
          </cell>
          <cell r="AV10">
            <v>0</v>
          </cell>
          <cell r="AW10">
            <v>0</v>
          </cell>
          <cell r="AX10">
            <v>6.3</v>
          </cell>
          <cell r="AY10">
            <v>0</v>
          </cell>
          <cell r="AZ10">
            <v>0</v>
          </cell>
          <cell r="BA10">
            <v>0</v>
          </cell>
          <cell r="BB10">
            <v>0</v>
          </cell>
          <cell r="BC10">
            <v>5.7</v>
          </cell>
          <cell r="BD10">
            <v>94.3</v>
          </cell>
          <cell r="BE10">
            <v>0</v>
          </cell>
          <cell r="BF10">
            <v>0</v>
          </cell>
          <cell r="BG10" t="str">
            <v>nd</v>
          </cell>
          <cell r="BH10" t="str">
            <v>nd</v>
          </cell>
          <cell r="BI10">
            <v>5.0999999999999996</v>
          </cell>
          <cell r="BJ10">
            <v>89.1</v>
          </cell>
          <cell r="BK10">
            <v>0</v>
          </cell>
          <cell r="BL10">
            <v>0</v>
          </cell>
          <cell r="BM10" t="str">
            <v>nd</v>
          </cell>
          <cell r="BN10" t="str">
            <v>nd</v>
          </cell>
          <cell r="BO10">
            <v>40</v>
          </cell>
          <cell r="BP10">
            <v>52.5</v>
          </cell>
          <cell r="BQ10">
            <v>0</v>
          </cell>
          <cell r="BR10">
            <v>0</v>
          </cell>
          <cell r="BS10" t="str">
            <v>nd</v>
          </cell>
          <cell r="BT10">
            <v>10.9</v>
          </cell>
          <cell r="BU10">
            <v>41.9</v>
          </cell>
          <cell r="BV10">
            <v>39.6</v>
          </cell>
          <cell r="BW10">
            <v>0</v>
          </cell>
          <cell r="BX10">
            <v>0</v>
          </cell>
          <cell r="BY10">
            <v>0</v>
          </cell>
          <cell r="BZ10" t="str">
            <v>nd</v>
          </cell>
          <cell r="CA10" t="str">
            <v>nd</v>
          </cell>
          <cell r="CB10">
            <v>95.1</v>
          </cell>
          <cell r="CC10">
            <v>20.100000000000001</v>
          </cell>
          <cell r="CD10">
            <v>7.3</v>
          </cell>
          <cell r="CE10" t="str">
            <v>nd</v>
          </cell>
          <cell r="CF10" t="str">
            <v>nd</v>
          </cell>
          <cell r="CG10">
            <v>0</v>
          </cell>
          <cell r="CH10">
            <v>21.8</v>
          </cell>
          <cell r="CI10">
            <v>0.70000000000000007</v>
          </cell>
          <cell r="CJ10">
            <v>70.099999999999994</v>
          </cell>
          <cell r="CK10">
            <v>23.799999999999997</v>
          </cell>
          <cell r="CL10">
            <v>0</v>
          </cell>
          <cell r="CM10">
            <v>0</v>
          </cell>
          <cell r="CN10">
            <v>0</v>
          </cell>
          <cell r="CO10">
            <v>76</v>
          </cell>
          <cell r="CP10">
            <v>25.7</v>
          </cell>
          <cell r="CQ10">
            <v>34.699999999999996</v>
          </cell>
          <cell r="CR10">
            <v>13.5</v>
          </cell>
          <cell r="CS10">
            <v>26.1</v>
          </cell>
          <cell r="CT10">
            <v>26.5</v>
          </cell>
          <cell r="CU10">
            <v>73.5</v>
          </cell>
          <cell r="CV10">
            <v>25.1</v>
          </cell>
          <cell r="CW10">
            <v>74.900000000000006</v>
          </cell>
          <cell r="CX10">
            <v>15.299999999999999</v>
          </cell>
          <cell r="CY10">
            <v>37.799999999999997</v>
          </cell>
          <cell r="CZ10">
            <v>46.9</v>
          </cell>
          <cell r="DA10">
            <v>27.500000000000004</v>
          </cell>
          <cell r="DB10">
            <v>77.100000000000009</v>
          </cell>
          <cell r="DC10" t="str">
            <v>nd</v>
          </cell>
          <cell r="DD10" t="str">
            <v>nd</v>
          </cell>
          <cell r="DE10" t="str">
            <v>nd</v>
          </cell>
          <cell r="DF10">
            <v>25.4</v>
          </cell>
          <cell r="DG10">
            <v>8.2000000000000011</v>
          </cell>
          <cell r="DH10">
            <v>23.599999999999998</v>
          </cell>
          <cell r="DI10" t="str">
            <v>nd</v>
          </cell>
          <cell r="DJ10">
            <v>25.1</v>
          </cell>
          <cell r="DK10">
            <v>16</v>
          </cell>
          <cell r="DL10">
            <v>29.5</v>
          </cell>
          <cell r="DM10">
            <v>33.700000000000003</v>
          </cell>
          <cell r="DN10">
            <v>5.7</v>
          </cell>
          <cell r="DO10">
            <v>16.100000000000001</v>
          </cell>
          <cell r="DP10">
            <v>8.1</v>
          </cell>
          <cell r="DQ10">
            <v>0</v>
          </cell>
          <cell r="DR10">
            <v>13</v>
          </cell>
          <cell r="DS10">
            <v>10.8</v>
          </cell>
          <cell r="DT10">
            <v>15.8</v>
          </cell>
          <cell r="DU10">
            <v>0</v>
          </cell>
          <cell r="DV10">
            <v>0</v>
          </cell>
          <cell r="DW10">
            <v>0</v>
          </cell>
          <cell r="DX10">
            <v>0</v>
          </cell>
          <cell r="DY10">
            <v>0</v>
          </cell>
          <cell r="DZ10">
            <v>8.295990999999999</v>
          </cell>
          <cell r="EA10">
            <v>0</v>
          </cell>
          <cell r="EB10" t="str">
            <v>nd</v>
          </cell>
          <cell r="EC10">
            <v>0</v>
          </cell>
          <cell r="ED10">
            <v>0</v>
          </cell>
          <cell r="EE10" t="str">
            <v>nd</v>
          </cell>
          <cell r="EF10">
            <v>30.965118600000004</v>
          </cell>
          <cell r="EG10" t="str">
            <v>nd</v>
          </cell>
          <cell r="EH10">
            <v>0</v>
          </cell>
          <cell r="EI10">
            <v>0</v>
          </cell>
          <cell r="EJ10">
            <v>0</v>
          </cell>
          <cell r="EK10">
            <v>0</v>
          </cell>
          <cell r="EL10">
            <v>35.903675299999996</v>
          </cell>
          <cell r="EM10" t="str">
            <v>nd</v>
          </cell>
          <cell r="EN10">
            <v>0</v>
          </cell>
          <cell r="EO10">
            <v>0</v>
          </cell>
          <cell r="EP10">
            <v>0</v>
          </cell>
          <cell r="EQ10" t="str">
            <v>nd</v>
          </cell>
          <cell r="ER10">
            <v>8.7830361000000003</v>
          </cell>
          <cell r="ES10" t="str">
            <v>nd</v>
          </cell>
          <cell r="ET10">
            <v>0</v>
          </cell>
          <cell r="EU10">
            <v>0</v>
          </cell>
          <cell r="EV10">
            <v>0</v>
          </cell>
          <cell r="EW10">
            <v>0</v>
          </cell>
          <cell r="EX10">
            <v>0</v>
          </cell>
          <cell r="EY10">
            <v>0</v>
          </cell>
          <cell r="EZ10">
            <v>0</v>
          </cell>
          <cell r="FA10">
            <v>0</v>
          </cell>
          <cell r="FB10">
            <v>0</v>
          </cell>
          <cell r="FC10">
            <v>0</v>
          </cell>
          <cell r="FD10">
            <v>0</v>
          </cell>
          <cell r="FE10">
            <v>0</v>
          </cell>
          <cell r="FF10">
            <v>0</v>
          </cell>
          <cell r="FG10" t="str">
            <v>nd</v>
          </cell>
          <cell r="FH10">
            <v>9.7564177999999995</v>
          </cell>
          <cell r="FI10">
            <v>0</v>
          </cell>
          <cell r="FJ10">
            <v>0</v>
          </cell>
          <cell r="FK10">
            <v>0</v>
          </cell>
          <cell r="FL10">
            <v>0</v>
          </cell>
          <cell r="FM10">
            <v>3.11002</v>
          </cell>
          <cell r="FN10">
            <v>33.734464600000003</v>
          </cell>
          <cell r="FO10">
            <v>0</v>
          </cell>
          <cell r="FP10">
            <v>0</v>
          </cell>
          <cell r="FQ10">
            <v>0</v>
          </cell>
          <cell r="FR10">
            <v>0</v>
          </cell>
          <cell r="FS10" t="str">
            <v>nd</v>
          </cell>
          <cell r="FT10">
            <v>46.720586300000001</v>
          </cell>
          <cell r="FU10">
            <v>0</v>
          </cell>
          <cell r="FV10">
            <v>0</v>
          </cell>
          <cell r="FW10">
            <v>0</v>
          </cell>
          <cell r="FX10">
            <v>0</v>
          </cell>
          <cell r="FY10">
            <v>0</v>
          </cell>
          <cell r="FZ10">
            <v>4.0797699999999999</v>
          </cell>
          <cell r="GA10">
            <v>0</v>
          </cell>
          <cell r="GB10">
            <v>0</v>
          </cell>
          <cell r="GC10">
            <v>0</v>
          </cell>
          <cell r="GD10">
            <v>0</v>
          </cell>
          <cell r="GE10">
            <v>0</v>
          </cell>
          <cell r="GF10">
            <v>0</v>
          </cell>
          <cell r="GG10">
            <v>0</v>
          </cell>
          <cell r="GH10">
            <v>0</v>
          </cell>
          <cell r="GI10">
            <v>0</v>
          </cell>
          <cell r="GJ10" t="str">
            <v>nd</v>
          </cell>
          <cell r="GK10">
            <v>11.3476792</v>
          </cell>
          <cell r="GL10">
            <v>0</v>
          </cell>
          <cell r="GM10">
            <v>0</v>
          </cell>
          <cell r="GN10">
            <v>0</v>
          </cell>
          <cell r="GO10" t="str">
            <v>nd</v>
          </cell>
          <cell r="GP10">
            <v>0.73962499999999998</v>
          </cell>
          <cell r="GQ10">
            <v>31.654118799999999</v>
          </cell>
          <cell r="GR10">
            <v>0</v>
          </cell>
          <cell r="GS10">
            <v>0</v>
          </cell>
          <cell r="GT10" t="str">
            <v>nd</v>
          </cell>
          <cell r="GU10">
            <v>0</v>
          </cell>
          <cell r="GV10" t="str">
            <v>nd</v>
          </cell>
          <cell r="GW10">
            <v>41.767944400000005</v>
          </cell>
          <cell r="GX10">
            <v>0</v>
          </cell>
          <cell r="GY10">
            <v>0</v>
          </cell>
          <cell r="GZ10">
            <v>0</v>
          </cell>
          <cell r="HA10">
            <v>0</v>
          </cell>
          <cell r="HB10" t="str">
            <v>nd</v>
          </cell>
          <cell r="HC10">
            <v>3.8739700000000004</v>
          </cell>
          <cell r="HD10">
            <v>0</v>
          </cell>
          <cell r="HE10">
            <v>0</v>
          </cell>
          <cell r="HF10">
            <v>0</v>
          </cell>
          <cell r="HG10">
            <v>0</v>
          </cell>
          <cell r="HH10">
            <v>0</v>
          </cell>
          <cell r="HI10">
            <v>0</v>
          </cell>
          <cell r="HJ10">
            <v>0</v>
          </cell>
          <cell r="HK10">
            <v>0</v>
          </cell>
          <cell r="HL10" t="str">
            <v>nd</v>
          </cell>
          <cell r="HM10">
            <v>7.0503359999999997</v>
          </cell>
          <cell r="HN10" t="str">
            <v>nd</v>
          </cell>
          <cell r="HO10">
            <v>0</v>
          </cell>
          <cell r="HP10">
            <v>0</v>
          </cell>
          <cell r="HQ10">
            <v>0</v>
          </cell>
          <cell r="HR10">
            <v>0</v>
          </cell>
          <cell r="HS10">
            <v>12.417211999999999</v>
          </cell>
          <cell r="HT10">
            <v>21.663731200000001</v>
          </cell>
          <cell r="HU10">
            <v>0</v>
          </cell>
          <cell r="HV10">
            <v>0</v>
          </cell>
          <cell r="HW10" t="str">
            <v>nd</v>
          </cell>
          <cell r="HX10">
            <v>0</v>
          </cell>
          <cell r="HY10">
            <v>15.2770362</v>
          </cell>
          <cell r="HZ10">
            <v>24.369062899999999</v>
          </cell>
          <cell r="IA10">
            <v>0</v>
          </cell>
          <cell r="IB10">
            <v>0</v>
          </cell>
          <cell r="IC10">
            <v>0</v>
          </cell>
          <cell r="ID10" t="str">
            <v>nd</v>
          </cell>
          <cell r="IE10" t="str">
            <v>nd</v>
          </cell>
          <cell r="IF10" t="str">
            <v>nd</v>
          </cell>
          <cell r="IG10">
            <v>0</v>
          </cell>
          <cell r="IH10">
            <v>0</v>
          </cell>
          <cell r="II10">
            <v>0</v>
          </cell>
          <cell r="IJ10">
            <v>0</v>
          </cell>
          <cell r="IK10">
            <v>0</v>
          </cell>
          <cell r="IL10">
            <v>0</v>
          </cell>
          <cell r="IM10">
            <v>0</v>
          </cell>
          <cell r="IN10">
            <v>0</v>
          </cell>
          <cell r="IO10">
            <v>0</v>
          </cell>
          <cell r="IP10" t="str">
            <v>nd</v>
          </cell>
          <cell r="IQ10">
            <v>7.0061490000000006</v>
          </cell>
          <cell r="IR10">
            <v>0</v>
          </cell>
          <cell r="IS10">
            <v>0</v>
          </cell>
          <cell r="IT10">
            <v>0</v>
          </cell>
          <cell r="IU10" t="str">
            <v>nd</v>
          </cell>
          <cell r="IV10">
            <v>13.317508</v>
          </cell>
          <cell r="IW10">
            <v>11.241812599999999</v>
          </cell>
          <cell r="IX10">
            <v>0</v>
          </cell>
          <cell r="IY10">
            <v>0</v>
          </cell>
          <cell r="IZ10" t="str">
            <v>nd</v>
          </cell>
          <cell r="JA10" t="str">
            <v>nd</v>
          </cell>
          <cell r="JB10">
            <v>14.7969974</v>
          </cell>
          <cell r="JC10">
            <v>20.324400400000002</v>
          </cell>
          <cell r="JD10">
            <v>0</v>
          </cell>
          <cell r="JE10">
            <v>0</v>
          </cell>
          <cell r="JF10">
            <v>0</v>
          </cell>
          <cell r="JG10">
            <v>0</v>
          </cell>
          <cell r="JH10">
            <v>9.5919956000000006</v>
          </cell>
          <cell r="JI10" t="str">
            <v>nd</v>
          </cell>
          <cell r="JJ10">
            <v>0</v>
          </cell>
          <cell r="JK10">
            <v>0</v>
          </cell>
          <cell r="JL10">
            <v>0</v>
          </cell>
          <cell r="JM10">
            <v>0</v>
          </cell>
          <cell r="JN10">
            <v>0</v>
          </cell>
          <cell r="JO10">
            <v>0</v>
          </cell>
          <cell r="JP10">
            <v>0</v>
          </cell>
          <cell r="JQ10">
            <v>0</v>
          </cell>
          <cell r="JR10" t="str">
            <v>nd</v>
          </cell>
          <cell r="JS10">
            <v>0</v>
          </cell>
          <cell r="JT10">
            <v>10.759910999999999</v>
          </cell>
          <cell r="JU10">
            <v>0</v>
          </cell>
          <cell r="JV10">
            <v>0</v>
          </cell>
          <cell r="JW10">
            <v>0</v>
          </cell>
          <cell r="JX10">
            <v>0</v>
          </cell>
          <cell r="JY10" t="str">
            <v>nd</v>
          </cell>
          <cell r="JZ10">
            <v>30.467535699999999</v>
          </cell>
          <cell r="KA10">
            <v>0</v>
          </cell>
          <cell r="KB10">
            <v>0</v>
          </cell>
          <cell r="KC10">
            <v>0</v>
          </cell>
          <cell r="KD10">
            <v>0</v>
          </cell>
          <cell r="KE10">
            <v>0</v>
          </cell>
          <cell r="KF10">
            <v>45.071710199999998</v>
          </cell>
          <cell r="KG10">
            <v>0</v>
          </cell>
          <cell r="KH10">
            <v>0</v>
          </cell>
          <cell r="KI10">
            <v>0</v>
          </cell>
          <cell r="KJ10">
            <v>0</v>
          </cell>
          <cell r="KK10">
            <v>0</v>
          </cell>
          <cell r="KL10">
            <v>8.4393115000000005</v>
          </cell>
          <cell r="KM10">
            <v>86.4</v>
          </cell>
          <cell r="KN10">
            <v>0.3</v>
          </cell>
          <cell r="KO10">
            <v>1.6</v>
          </cell>
          <cell r="KP10">
            <v>5.7</v>
          </cell>
          <cell r="KQ10">
            <v>5.8000000000000007</v>
          </cell>
          <cell r="KR10">
            <v>0.3</v>
          </cell>
          <cell r="KS10">
            <v>85.9</v>
          </cell>
          <cell r="KT10">
            <v>0.3</v>
          </cell>
          <cell r="KU10">
            <v>1.7000000000000002</v>
          </cell>
          <cell r="KV10">
            <v>5.7</v>
          </cell>
          <cell r="KW10">
            <v>6.1</v>
          </cell>
          <cell r="KX10">
            <v>0.3</v>
          </cell>
          <cell r="KY10"/>
          <cell r="KZ10"/>
          <cell r="LA10"/>
          <cell r="LB10"/>
          <cell r="LC10"/>
          <cell r="LD10"/>
          <cell r="LE10"/>
          <cell r="LF10"/>
          <cell r="LG10"/>
          <cell r="LH10"/>
          <cell r="LI10"/>
          <cell r="LJ10"/>
          <cell r="LK10"/>
          <cell r="LL10"/>
          <cell r="LM10"/>
          <cell r="LN10"/>
          <cell r="LO10"/>
        </row>
        <row r="11">
          <cell r="A11" t="str">
            <v>2C1</v>
          </cell>
          <cell r="B11" t="str">
            <v>11</v>
          </cell>
          <cell r="C11" t="str">
            <v>NAF 17</v>
          </cell>
          <cell r="D11" t="str">
            <v>C1</v>
          </cell>
          <cell r="E11" t="str">
            <v>2</v>
          </cell>
          <cell r="F11" t="str">
            <v>nd</v>
          </cell>
          <cell r="G11">
            <v>5.6000000000000005</v>
          </cell>
          <cell r="H11">
            <v>39.900000000000006</v>
          </cell>
          <cell r="I11">
            <v>41.699999999999996</v>
          </cell>
          <cell r="J11">
            <v>11.1</v>
          </cell>
          <cell r="K11">
            <v>69.3</v>
          </cell>
          <cell r="L11">
            <v>23.5</v>
          </cell>
          <cell r="M11" t="str">
            <v>nd</v>
          </cell>
          <cell r="N11" t="str">
            <v>nd</v>
          </cell>
          <cell r="O11">
            <v>31.7</v>
          </cell>
          <cell r="P11">
            <v>28.199999999999996</v>
          </cell>
          <cell r="Q11">
            <v>11.1</v>
          </cell>
          <cell r="R11" t="str">
            <v>nd</v>
          </cell>
          <cell r="S11">
            <v>6.3</v>
          </cell>
          <cell r="T11">
            <v>41.9</v>
          </cell>
          <cell r="U11">
            <v>9.4</v>
          </cell>
          <cell r="V11">
            <v>15.9</v>
          </cell>
          <cell r="W11">
            <v>4.5</v>
          </cell>
          <cell r="X11">
            <v>91.7</v>
          </cell>
          <cell r="Y11">
            <v>3.9</v>
          </cell>
          <cell r="Z11" t="str">
            <v>nd</v>
          </cell>
          <cell r="AA11">
            <v>0</v>
          </cell>
          <cell r="AB11">
            <v>0</v>
          </cell>
          <cell r="AC11">
            <v>61.9</v>
          </cell>
          <cell r="AD11">
            <v>0</v>
          </cell>
          <cell r="AE11">
            <v>39.1</v>
          </cell>
          <cell r="AF11">
            <v>60.9</v>
          </cell>
          <cell r="AG11">
            <v>47</v>
          </cell>
          <cell r="AH11">
            <v>53</v>
          </cell>
          <cell r="AI11">
            <v>67.300000000000011</v>
          </cell>
          <cell r="AJ11">
            <v>0</v>
          </cell>
          <cell r="AK11" t="str">
            <v>nd</v>
          </cell>
          <cell r="AL11">
            <v>30.2</v>
          </cell>
          <cell r="AM11">
            <v>0</v>
          </cell>
          <cell r="AN11" t="str">
            <v>nd</v>
          </cell>
          <cell r="AO11" t="str">
            <v>nd</v>
          </cell>
          <cell r="AP11">
            <v>0</v>
          </cell>
          <cell r="AQ11">
            <v>87.5</v>
          </cell>
          <cell r="AR11" t="str">
            <v>nd</v>
          </cell>
          <cell r="AS11">
            <v>77.100000000000009</v>
          </cell>
          <cell r="AT11">
            <v>14.799999999999999</v>
          </cell>
          <cell r="AU11">
            <v>6.5</v>
          </cell>
          <cell r="AV11">
            <v>0</v>
          </cell>
          <cell r="AW11" t="str">
            <v>nd</v>
          </cell>
          <cell r="AX11">
            <v>0</v>
          </cell>
          <cell r="AY11" t="str">
            <v>nd</v>
          </cell>
          <cell r="AZ11" t="str">
            <v>nd</v>
          </cell>
          <cell r="BA11">
            <v>0</v>
          </cell>
          <cell r="BB11">
            <v>3.2</v>
          </cell>
          <cell r="BC11">
            <v>15.4</v>
          </cell>
          <cell r="BD11">
            <v>75.599999999999994</v>
          </cell>
          <cell r="BE11" t="str">
            <v>nd</v>
          </cell>
          <cell r="BF11" t="str">
            <v>nd</v>
          </cell>
          <cell r="BG11" t="str">
            <v>nd</v>
          </cell>
          <cell r="BH11">
            <v>10.9</v>
          </cell>
          <cell r="BI11">
            <v>17.7</v>
          </cell>
          <cell r="BJ11">
            <v>63.7</v>
          </cell>
          <cell r="BK11">
            <v>0</v>
          </cell>
          <cell r="BL11" t="str">
            <v>nd</v>
          </cell>
          <cell r="BM11">
            <v>0</v>
          </cell>
          <cell r="BN11">
            <v>8.3000000000000007</v>
          </cell>
          <cell r="BO11">
            <v>53.400000000000006</v>
          </cell>
          <cell r="BP11">
            <v>35</v>
          </cell>
          <cell r="BQ11" t="str">
            <v>nd</v>
          </cell>
          <cell r="BR11">
            <v>0</v>
          </cell>
          <cell r="BS11" t="str">
            <v>nd</v>
          </cell>
          <cell r="BT11">
            <v>13</v>
          </cell>
          <cell r="BU11">
            <v>47.699999999999996</v>
          </cell>
          <cell r="BV11">
            <v>33.1</v>
          </cell>
          <cell r="BW11">
            <v>0</v>
          </cell>
          <cell r="BX11">
            <v>0</v>
          </cell>
          <cell r="BY11">
            <v>0</v>
          </cell>
          <cell r="BZ11">
            <v>0</v>
          </cell>
          <cell r="CA11">
            <v>0</v>
          </cell>
          <cell r="CB11">
            <v>100</v>
          </cell>
          <cell r="CC11">
            <v>26.1</v>
          </cell>
          <cell r="CD11">
            <v>15.7</v>
          </cell>
          <cell r="CE11" t="str">
            <v>nd</v>
          </cell>
          <cell r="CF11" t="str">
            <v>nd</v>
          </cell>
          <cell r="CG11">
            <v>0</v>
          </cell>
          <cell r="CH11">
            <v>25.7</v>
          </cell>
          <cell r="CI11">
            <v>8.2000000000000011</v>
          </cell>
          <cell r="CJ11">
            <v>50.7</v>
          </cell>
          <cell r="CK11">
            <v>38.6</v>
          </cell>
          <cell r="CL11" t="str">
            <v>nd</v>
          </cell>
          <cell r="CM11">
            <v>0</v>
          </cell>
          <cell r="CN11">
            <v>0</v>
          </cell>
          <cell r="CO11">
            <v>60.099999999999994</v>
          </cell>
          <cell r="CP11">
            <v>27.200000000000003</v>
          </cell>
          <cell r="CQ11">
            <v>43.2</v>
          </cell>
          <cell r="CR11">
            <v>11.4</v>
          </cell>
          <cell r="CS11">
            <v>18.3</v>
          </cell>
          <cell r="CT11">
            <v>18.099999999999998</v>
          </cell>
          <cell r="CU11">
            <v>81.899999999999991</v>
          </cell>
          <cell r="CV11">
            <v>8.6999999999999993</v>
          </cell>
          <cell r="CW11">
            <v>91.3</v>
          </cell>
          <cell r="CX11">
            <v>20.9</v>
          </cell>
          <cell r="CY11">
            <v>37.299999999999997</v>
          </cell>
          <cell r="CZ11">
            <v>41.8</v>
          </cell>
          <cell r="DA11">
            <v>29.599999999999998</v>
          </cell>
          <cell r="DB11" t="str">
            <v>nd</v>
          </cell>
          <cell r="DC11">
            <v>51.7</v>
          </cell>
          <cell r="DD11">
            <v>0</v>
          </cell>
          <cell r="DE11">
            <v>28.599999999999998</v>
          </cell>
          <cell r="DF11">
            <v>19.600000000000001</v>
          </cell>
          <cell r="DG11">
            <v>2.4</v>
          </cell>
          <cell r="DH11">
            <v>35.199999999999996</v>
          </cell>
          <cell r="DI11">
            <v>7.8</v>
          </cell>
          <cell r="DJ11">
            <v>11.600000000000001</v>
          </cell>
          <cell r="DK11">
            <v>23.400000000000002</v>
          </cell>
          <cell r="DL11">
            <v>23.200000000000003</v>
          </cell>
          <cell r="DM11">
            <v>40.300000000000004</v>
          </cell>
          <cell r="DN11" t="str">
            <v>nd</v>
          </cell>
          <cell r="DO11">
            <v>13.3</v>
          </cell>
          <cell r="DP11" t="str">
            <v>nd</v>
          </cell>
          <cell r="DQ11">
            <v>0</v>
          </cell>
          <cell r="DR11">
            <v>7.6</v>
          </cell>
          <cell r="DS11">
            <v>17</v>
          </cell>
          <cell r="DT11">
            <v>19.100000000000001</v>
          </cell>
          <cell r="DU11">
            <v>0</v>
          </cell>
          <cell r="DV11" t="str">
            <v>nd</v>
          </cell>
          <cell r="DW11">
            <v>0</v>
          </cell>
          <cell r="DX11">
            <v>0</v>
          </cell>
          <cell r="DY11">
            <v>0</v>
          </cell>
          <cell r="DZ11">
            <v>2.75116</v>
          </cell>
          <cell r="EA11" t="str">
            <v>nd</v>
          </cell>
          <cell r="EB11">
            <v>0</v>
          </cell>
          <cell r="EC11">
            <v>0</v>
          </cell>
          <cell r="ED11">
            <v>0</v>
          </cell>
          <cell r="EE11">
            <v>0</v>
          </cell>
          <cell r="EF11">
            <v>24.8082736</v>
          </cell>
          <cell r="EG11">
            <v>10.4645428</v>
          </cell>
          <cell r="EH11">
            <v>6.5415657000000005</v>
          </cell>
          <cell r="EI11">
            <v>0</v>
          </cell>
          <cell r="EJ11">
            <v>0</v>
          </cell>
          <cell r="EK11">
            <v>0</v>
          </cell>
          <cell r="EL11">
            <v>38.399637200000001</v>
          </cell>
          <cell r="EM11" t="str">
            <v>nd</v>
          </cell>
          <cell r="EN11">
            <v>0</v>
          </cell>
          <cell r="EO11">
            <v>0</v>
          </cell>
          <cell r="EP11">
            <v>0</v>
          </cell>
          <cell r="EQ11">
            <v>0</v>
          </cell>
          <cell r="ER11">
            <v>11.104618500000001</v>
          </cell>
          <cell r="ES11">
            <v>0</v>
          </cell>
          <cell r="ET11">
            <v>0</v>
          </cell>
          <cell r="EU11">
            <v>0</v>
          </cell>
          <cell r="EV11">
            <v>0</v>
          </cell>
          <cell r="EW11">
            <v>0</v>
          </cell>
          <cell r="EX11">
            <v>0</v>
          </cell>
          <cell r="EY11">
            <v>0</v>
          </cell>
          <cell r="EZ11">
            <v>0</v>
          </cell>
          <cell r="FA11">
            <v>0</v>
          </cell>
          <cell r="FB11" t="str">
            <v>nd</v>
          </cell>
          <cell r="FC11">
            <v>0</v>
          </cell>
          <cell r="FD11" t="str">
            <v>nd</v>
          </cell>
          <cell r="FE11">
            <v>0</v>
          </cell>
          <cell r="FF11">
            <v>0</v>
          </cell>
          <cell r="FG11" t="str">
            <v>nd</v>
          </cell>
          <cell r="FH11" t="str">
            <v>nd</v>
          </cell>
          <cell r="FI11">
            <v>0</v>
          </cell>
          <cell r="FJ11">
            <v>0</v>
          </cell>
          <cell r="FK11">
            <v>0</v>
          </cell>
          <cell r="FL11" t="str">
            <v>nd</v>
          </cell>
          <cell r="FM11">
            <v>5.1021700000000001</v>
          </cell>
          <cell r="FN11">
            <v>37.790528399999999</v>
          </cell>
          <cell r="FO11" t="str">
            <v>nd</v>
          </cell>
          <cell r="FP11">
            <v>0</v>
          </cell>
          <cell r="FQ11">
            <v>0</v>
          </cell>
          <cell r="FR11" t="str">
            <v>nd</v>
          </cell>
          <cell r="FS11">
            <v>7.0859033</v>
          </cell>
          <cell r="FT11">
            <v>25.360461099999998</v>
          </cell>
          <cell r="FU11">
            <v>0</v>
          </cell>
          <cell r="FV11">
            <v>0</v>
          </cell>
          <cell r="FW11">
            <v>0</v>
          </cell>
          <cell r="FX11">
            <v>0</v>
          </cell>
          <cell r="FY11">
            <v>2.4217300000000002</v>
          </cell>
          <cell r="FZ11">
            <v>8.5731740999999992</v>
          </cell>
          <cell r="GA11">
            <v>0</v>
          </cell>
          <cell r="GB11">
            <v>0</v>
          </cell>
          <cell r="GC11">
            <v>0</v>
          </cell>
          <cell r="GD11">
            <v>0</v>
          </cell>
          <cell r="GE11">
            <v>0</v>
          </cell>
          <cell r="GF11" t="str">
            <v>nd</v>
          </cell>
          <cell r="GG11" t="str">
            <v>nd</v>
          </cell>
          <cell r="GH11">
            <v>0</v>
          </cell>
          <cell r="GI11">
            <v>0</v>
          </cell>
          <cell r="GJ11">
            <v>0</v>
          </cell>
          <cell r="GK11" t="str">
            <v>nd</v>
          </cell>
          <cell r="GL11">
            <v>0</v>
          </cell>
          <cell r="GM11">
            <v>0</v>
          </cell>
          <cell r="GN11" t="str">
            <v>nd</v>
          </cell>
          <cell r="GO11">
            <v>10.931314499999999</v>
          </cell>
          <cell r="GP11" t="str">
            <v>nd</v>
          </cell>
          <cell r="GQ11">
            <v>25.8188669</v>
          </cell>
          <cell r="GR11">
            <v>0</v>
          </cell>
          <cell r="GS11">
            <v>0</v>
          </cell>
          <cell r="GT11">
            <v>0</v>
          </cell>
          <cell r="GU11">
            <v>0</v>
          </cell>
          <cell r="GV11">
            <v>8.8243948999999997</v>
          </cell>
          <cell r="GW11">
            <v>30.875193499999998</v>
          </cell>
          <cell r="GX11">
            <v>0</v>
          </cell>
          <cell r="GY11">
            <v>0</v>
          </cell>
          <cell r="GZ11">
            <v>0</v>
          </cell>
          <cell r="HA11">
            <v>0</v>
          </cell>
          <cell r="HB11">
            <v>5.1095500000000005</v>
          </cell>
          <cell r="HC11">
            <v>5.4573900000000002</v>
          </cell>
          <cell r="HD11">
            <v>0</v>
          </cell>
          <cell r="HE11" t="str">
            <v>nd</v>
          </cell>
          <cell r="HF11">
            <v>0</v>
          </cell>
          <cell r="HG11">
            <v>0</v>
          </cell>
          <cell r="HH11">
            <v>0</v>
          </cell>
          <cell r="HI11">
            <v>0</v>
          </cell>
          <cell r="HJ11" t="str">
            <v>nd</v>
          </cell>
          <cell r="HK11">
            <v>0</v>
          </cell>
          <cell r="HL11">
            <v>0</v>
          </cell>
          <cell r="HM11">
            <v>2.6946500000000002</v>
          </cell>
          <cell r="HN11">
            <v>0</v>
          </cell>
          <cell r="HO11">
            <v>0</v>
          </cell>
          <cell r="HP11">
            <v>0</v>
          </cell>
          <cell r="HQ11">
            <v>0</v>
          </cell>
          <cell r="HR11" t="str">
            <v>nd</v>
          </cell>
          <cell r="HS11">
            <v>28.250119699999999</v>
          </cell>
          <cell r="HT11">
            <v>10.0750364</v>
          </cell>
          <cell r="HU11">
            <v>0</v>
          </cell>
          <cell r="HV11">
            <v>0</v>
          </cell>
          <cell r="HW11">
            <v>0</v>
          </cell>
          <cell r="HX11" t="str">
            <v>nd</v>
          </cell>
          <cell r="HY11">
            <v>19.474165800000002</v>
          </cell>
          <cell r="HZ11">
            <v>19.306546999999998</v>
          </cell>
          <cell r="IA11">
            <v>0</v>
          </cell>
          <cell r="IB11">
            <v>0</v>
          </cell>
          <cell r="IC11">
            <v>0</v>
          </cell>
          <cell r="ID11" t="str">
            <v>nd</v>
          </cell>
          <cell r="IE11" t="str">
            <v>nd</v>
          </cell>
          <cell r="IF11">
            <v>5.5824100000000003</v>
          </cell>
          <cell r="IG11">
            <v>0</v>
          </cell>
          <cell r="IH11">
            <v>0</v>
          </cell>
          <cell r="II11">
            <v>0</v>
          </cell>
          <cell r="IJ11">
            <v>0</v>
          </cell>
          <cell r="IK11" t="str">
            <v>nd</v>
          </cell>
          <cell r="IL11">
            <v>0</v>
          </cell>
          <cell r="IM11">
            <v>0</v>
          </cell>
          <cell r="IN11">
            <v>0</v>
          </cell>
          <cell r="IO11">
            <v>0</v>
          </cell>
          <cell r="IP11" t="str">
            <v>nd</v>
          </cell>
          <cell r="IQ11" t="str">
            <v>nd</v>
          </cell>
          <cell r="IR11">
            <v>0</v>
          </cell>
          <cell r="IS11">
            <v>0</v>
          </cell>
          <cell r="IT11" t="str">
            <v>nd</v>
          </cell>
          <cell r="IU11">
            <v>5.8551199999999994</v>
          </cell>
          <cell r="IV11">
            <v>14.488153500000001</v>
          </cell>
          <cell r="IW11">
            <v>17.5854368</v>
          </cell>
          <cell r="IX11" t="str">
            <v>nd</v>
          </cell>
          <cell r="IY11">
            <v>0</v>
          </cell>
          <cell r="IZ11" t="str">
            <v>nd</v>
          </cell>
          <cell r="JA11" t="str">
            <v>nd</v>
          </cell>
          <cell r="JB11">
            <v>25.163253200000003</v>
          </cell>
          <cell r="JC11">
            <v>8.8948658999999992</v>
          </cell>
          <cell r="JD11">
            <v>0</v>
          </cell>
          <cell r="JE11">
            <v>0</v>
          </cell>
          <cell r="JF11">
            <v>0</v>
          </cell>
          <cell r="JG11" t="str">
            <v>nd</v>
          </cell>
          <cell r="JH11" t="str">
            <v>nd</v>
          </cell>
          <cell r="JI11">
            <v>3.05525</v>
          </cell>
          <cell r="JJ11">
            <v>0</v>
          </cell>
          <cell r="JK11">
            <v>0</v>
          </cell>
          <cell r="JL11">
            <v>0</v>
          </cell>
          <cell r="JM11">
            <v>0</v>
          </cell>
          <cell r="JN11" t="str">
            <v>nd</v>
          </cell>
          <cell r="JO11">
            <v>0</v>
          </cell>
          <cell r="JP11">
            <v>0</v>
          </cell>
          <cell r="JQ11">
            <v>0</v>
          </cell>
          <cell r="JR11">
            <v>0</v>
          </cell>
          <cell r="JS11">
            <v>0</v>
          </cell>
          <cell r="JT11">
            <v>6.3720938</v>
          </cell>
          <cell r="JU11">
            <v>0</v>
          </cell>
          <cell r="JV11">
            <v>0</v>
          </cell>
          <cell r="JW11">
            <v>0</v>
          </cell>
          <cell r="JX11">
            <v>0</v>
          </cell>
          <cell r="JY11">
            <v>0</v>
          </cell>
          <cell r="JZ11">
            <v>41.759328099999998</v>
          </cell>
          <cell r="KA11">
            <v>0</v>
          </cell>
          <cell r="KB11">
            <v>0</v>
          </cell>
          <cell r="KC11">
            <v>0</v>
          </cell>
          <cell r="KD11">
            <v>0</v>
          </cell>
          <cell r="KE11">
            <v>0</v>
          </cell>
          <cell r="KF11">
            <v>39.6765896</v>
          </cell>
          <cell r="KG11">
            <v>0</v>
          </cell>
          <cell r="KH11">
            <v>0</v>
          </cell>
          <cell r="KI11">
            <v>0</v>
          </cell>
          <cell r="KJ11">
            <v>0</v>
          </cell>
          <cell r="KK11">
            <v>0</v>
          </cell>
          <cell r="KL11">
            <v>10.577141399999999</v>
          </cell>
          <cell r="KM11">
            <v>79.3</v>
          </cell>
          <cell r="KN11">
            <v>2.8000000000000003</v>
          </cell>
          <cell r="KO11">
            <v>6.6000000000000005</v>
          </cell>
          <cell r="KP11">
            <v>4.9000000000000004</v>
          </cell>
          <cell r="KQ11">
            <v>6.4</v>
          </cell>
          <cell r="KR11">
            <v>0</v>
          </cell>
          <cell r="KS11">
            <v>77.100000000000009</v>
          </cell>
          <cell r="KT11">
            <v>3.1</v>
          </cell>
          <cell r="KU11">
            <v>7.6</v>
          </cell>
          <cell r="KV11">
            <v>5.3</v>
          </cell>
          <cell r="KW11">
            <v>6.9</v>
          </cell>
          <cell r="KX11">
            <v>0</v>
          </cell>
          <cell r="KY11"/>
          <cell r="KZ11"/>
          <cell r="LA11"/>
          <cell r="LB11"/>
          <cell r="LC11"/>
          <cell r="LD11"/>
          <cell r="LE11"/>
          <cell r="LF11"/>
          <cell r="LG11"/>
          <cell r="LH11"/>
          <cell r="LI11"/>
          <cell r="LJ11"/>
          <cell r="LK11"/>
          <cell r="LL11"/>
          <cell r="LM11"/>
          <cell r="LN11"/>
          <cell r="LO11"/>
        </row>
        <row r="12">
          <cell r="A12" t="str">
            <v>3C1</v>
          </cell>
          <cell r="B12" t="str">
            <v>12</v>
          </cell>
          <cell r="C12" t="str">
            <v>NAF 17</v>
          </cell>
          <cell r="D12" t="str">
            <v>C1</v>
          </cell>
          <cell r="E12" t="str">
            <v>3</v>
          </cell>
          <cell r="F12">
            <v>0</v>
          </cell>
          <cell r="G12">
            <v>3.8</v>
          </cell>
          <cell r="H12">
            <v>28.499999999999996</v>
          </cell>
          <cell r="I12">
            <v>57.8</v>
          </cell>
          <cell r="J12">
            <v>9.8000000000000007</v>
          </cell>
          <cell r="K12">
            <v>89.8</v>
          </cell>
          <cell r="L12" t="str">
            <v>nd</v>
          </cell>
          <cell r="M12" t="str">
            <v>nd</v>
          </cell>
          <cell r="N12">
            <v>0</v>
          </cell>
          <cell r="O12">
            <v>23.200000000000003</v>
          </cell>
          <cell r="P12">
            <v>34.300000000000004</v>
          </cell>
          <cell r="Q12">
            <v>9.4</v>
          </cell>
          <cell r="R12" t="str">
            <v>nd</v>
          </cell>
          <cell r="S12">
            <v>8.3000000000000007</v>
          </cell>
          <cell r="T12">
            <v>37</v>
          </cell>
          <cell r="U12" t="str">
            <v>nd</v>
          </cell>
          <cell r="V12">
            <v>26.3</v>
          </cell>
          <cell r="W12">
            <v>9.9</v>
          </cell>
          <cell r="X12">
            <v>86.6</v>
          </cell>
          <cell r="Y12">
            <v>3.5000000000000004</v>
          </cell>
          <cell r="Z12">
            <v>0</v>
          </cell>
          <cell r="AA12">
            <v>77.8</v>
          </cell>
          <cell r="AB12">
            <v>0</v>
          </cell>
          <cell r="AC12">
            <v>80.800000000000011</v>
          </cell>
          <cell r="AD12" t="str">
            <v>nd</v>
          </cell>
          <cell r="AE12">
            <v>61.3</v>
          </cell>
          <cell r="AF12">
            <v>38.700000000000003</v>
          </cell>
          <cell r="AG12">
            <v>82.1</v>
          </cell>
          <cell r="AH12">
            <v>17.899999999999999</v>
          </cell>
          <cell r="AI12">
            <v>26.5</v>
          </cell>
          <cell r="AJ12" t="str">
            <v>nd</v>
          </cell>
          <cell r="AK12">
            <v>0</v>
          </cell>
          <cell r="AL12">
            <v>68.400000000000006</v>
          </cell>
          <cell r="AM12">
            <v>0</v>
          </cell>
          <cell r="AN12">
            <v>0</v>
          </cell>
          <cell r="AO12">
            <v>7.1999999999999993</v>
          </cell>
          <cell r="AP12">
            <v>0</v>
          </cell>
          <cell r="AQ12">
            <v>91.4</v>
          </cell>
          <cell r="AR12" t="str">
            <v>nd</v>
          </cell>
          <cell r="AS12">
            <v>90.2</v>
          </cell>
          <cell r="AT12">
            <v>7.1999999999999993</v>
          </cell>
          <cell r="AU12" t="str">
            <v>nd</v>
          </cell>
          <cell r="AV12" t="str">
            <v>nd</v>
          </cell>
          <cell r="AW12">
            <v>0</v>
          </cell>
          <cell r="AX12">
            <v>0</v>
          </cell>
          <cell r="AY12" t="str">
            <v>nd</v>
          </cell>
          <cell r="AZ12">
            <v>0</v>
          </cell>
          <cell r="BA12">
            <v>2.6</v>
          </cell>
          <cell r="BB12">
            <v>9.7000000000000011</v>
          </cell>
          <cell r="BC12">
            <v>36</v>
          </cell>
          <cell r="BD12">
            <v>50</v>
          </cell>
          <cell r="BE12" t="str">
            <v>nd</v>
          </cell>
          <cell r="BF12">
            <v>0</v>
          </cell>
          <cell r="BG12" t="str">
            <v>nd</v>
          </cell>
          <cell r="BH12">
            <v>0</v>
          </cell>
          <cell r="BI12">
            <v>42.5</v>
          </cell>
          <cell r="BJ12">
            <v>54.6</v>
          </cell>
          <cell r="BK12">
            <v>0</v>
          </cell>
          <cell r="BL12">
            <v>0</v>
          </cell>
          <cell r="BM12">
            <v>0</v>
          </cell>
          <cell r="BN12">
            <v>2.9000000000000004</v>
          </cell>
          <cell r="BO12">
            <v>79.5</v>
          </cell>
          <cell r="BP12">
            <v>17.599999999999998</v>
          </cell>
          <cell r="BQ12">
            <v>0</v>
          </cell>
          <cell r="BR12">
            <v>0</v>
          </cell>
          <cell r="BS12">
            <v>0</v>
          </cell>
          <cell r="BT12">
            <v>9</v>
          </cell>
          <cell r="BU12">
            <v>86.1</v>
          </cell>
          <cell r="BV12">
            <v>4.8</v>
          </cell>
          <cell r="BW12">
            <v>0</v>
          </cell>
          <cell r="BX12">
            <v>0</v>
          </cell>
          <cell r="BY12">
            <v>0</v>
          </cell>
          <cell r="BZ12">
            <v>0</v>
          </cell>
          <cell r="CA12">
            <v>0</v>
          </cell>
          <cell r="CB12">
            <v>100</v>
          </cell>
          <cell r="CC12">
            <v>39.200000000000003</v>
          </cell>
          <cell r="CD12">
            <v>3.1</v>
          </cell>
          <cell r="CE12" t="str">
            <v>nd</v>
          </cell>
          <cell r="CF12" t="str">
            <v>nd</v>
          </cell>
          <cell r="CG12">
            <v>0</v>
          </cell>
          <cell r="CH12">
            <v>15.1</v>
          </cell>
          <cell r="CI12">
            <v>3.9</v>
          </cell>
          <cell r="CJ12">
            <v>50.2</v>
          </cell>
          <cell r="CK12">
            <v>24.8</v>
          </cell>
          <cell r="CL12">
            <v>7.6</v>
          </cell>
          <cell r="CM12">
            <v>4</v>
          </cell>
          <cell r="CN12">
            <v>0</v>
          </cell>
          <cell r="CO12">
            <v>71.2</v>
          </cell>
          <cell r="CP12">
            <v>37.700000000000003</v>
          </cell>
          <cell r="CQ12">
            <v>35.799999999999997</v>
          </cell>
          <cell r="CR12">
            <v>2.1999999999999997</v>
          </cell>
          <cell r="CS12">
            <v>24.4</v>
          </cell>
          <cell r="CT12">
            <v>20</v>
          </cell>
          <cell r="CU12">
            <v>80</v>
          </cell>
          <cell r="CV12">
            <v>22.900000000000002</v>
          </cell>
          <cell r="CW12">
            <v>77.100000000000009</v>
          </cell>
          <cell r="CX12">
            <v>26.700000000000003</v>
          </cell>
          <cell r="CY12">
            <v>50</v>
          </cell>
          <cell r="CZ12">
            <v>23.3</v>
          </cell>
          <cell r="DA12">
            <v>45.6</v>
          </cell>
          <cell r="DB12" t="str">
            <v>nd</v>
          </cell>
          <cell r="DC12">
            <v>20.599999999999998</v>
          </cell>
          <cell r="DD12">
            <v>0</v>
          </cell>
          <cell r="DE12">
            <v>41.5</v>
          </cell>
          <cell r="DF12">
            <v>35.6</v>
          </cell>
          <cell r="DG12" t="str">
            <v>nd</v>
          </cell>
          <cell r="DH12">
            <v>21</v>
          </cell>
          <cell r="DI12">
            <v>10</v>
          </cell>
          <cell r="DJ12">
            <v>8.1</v>
          </cell>
          <cell r="DK12">
            <v>20.8</v>
          </cell>
          <cell r="DL12">
            <v>50.3</v>
          </cell>
          <cell r="DM12">
            <v>34.699999999999996</v>
          </cell>
          <cell r="DN12">
            <v>10</v>
          </cell>
          <cell r="DO12">
            <v>9.5</v>
          </cell>
          <cell r="DP12">
            <v>0</v>
          </cell>
          <cell r="DQ12">
            <v>0</v>
          </cell>
          <cell r="DR12" t="str">
            <v>nd</v>
          </cell>
          <cell r="DS12">
            <v>5.2</v>
          </cell>
          <cell r="DT12">
            <v>4.3</v>
          </cell>
          <cell r="DU12">
            <v>0</v>
          </cell>
          <cell r="DV12">
            <v>0</v>
          </cell>
          <cell r="DW12">
            <v>0</v>
          </cell>
          <cell r="DX12">
            <v>0</v>
          </cell>
          <cell r="DY12">
            <v>0</v>
          </cell>
          <cell r="DZ12" t="str">
            <v>nd</v>
          </cell>
          <cell r="EA12" t="str">
            <v>nd</v>
          </cell>
          <cell r="EB12">
            <v>0</v>
          </cell>
          <cell r="EC12" t="str">
            <v>nd</v>
          </cell>
          <cell r="ED12">
            <v>0</v>
          </cell>
          <cell r="EE12">
            <v>0</v>
          </cell>
          <cell r="EF12">
            <v>24.0097302</v>
          </cell>
          <cell r="EG12">
            <v>5.1655499999999996</v>
          </cell>
          <cell r="EH12" t="str">
            <v>nd</v>
          </cell>
          <cell r="EI12">
            <v>0</v>
          </cell>
          <cell r="EJ12">
            <v>0</v>
          </cell>
          <cell r="EK12">
            <v>0</v>
          </cell>
          <cell r="EL12">
            <v>54.479589100000005</v>
          </cell>
          <cell r="EM12" t="str">
            <v>nd</v>
          </cell>
          <cell r="EN12">
            <v>0</v>
          </cell>
          <cell r="EO12">
            <v>0</v>
          </cell>
          <cell r="EP12">
            <v>0</v>
          </cell>
          <cell r="EQ12">
            <v>0</v>
          </cell>
          <cell r="ER12">
            <v>9.865601100000001</v>
          </cell>
          <cell r="ES12">
            <v>0</v>
          </cell>
          <cell r="ET12">
            <v>0</v>
          </cell>
          <cell r="EU12">
            <v>0</v>
          </cell>
          <cell r="EV12">
            <v>0</v>
          </cell>
          <cell r="EW12">
            <v>0</v>
          </cell>
          <cell r="EX12">
            <v>0</v>
          </cell>
          <cell r="EY12">
            <v>0</v>
          </cell>
          <cell r="EZ12">
            <v>0</v>
          </cell>
          <cell r="FA12">
            <v>0</v>
          </cell>
          <cell r="FB12">
            <v>0</v>
          </cell>
          <cell r="FC12">
            <v>0</v>
          </cell>
          <cell r="FD12">
            <v>0</v>
          </cell>
          <cell r="FE12">
            <v>0</v>
          </cell>
          <cell r="FF12" t="str">
            <v>nd</v>
          </cell>
          <cell r="FG12" t="str">
            <v>nd</v>
          </cell>
          <cell r="FH12" t="str">
            <v>nd</v>
          </cell>
          <cell r="FI12" t="str">
            <v>nd</v>
          </cell>
          <cell r="FJ12">
            <v>0</v>
          </cell>
          <cell r="FK12" t="str">
            <v>nd</v>
          </cell>
          <cell r="FL12">
            <v>0</v>
          </cell>
          <cell r="FM12">
            <v>14.694405399999999</v>
          </cell>
          <cell r="FN12">
            <v>12.6775483</v>
          </cell>
          <cell r="FO12">
            <v>0</v>
          </cell>
          <cell r="FP12">
            <v>0</v>
          </cell>
          <cell r="FQ12" t="str">
            <v>nd</v>
          </cell>
          <cell r="FR12">
            <v>6.2966316999999989</v>
          </cell>
          <cell r="FS12">
            <v>17.344026599999999</v>
          </cell>
          <cell r="FT12">
            <v>31.057355699999999</v>
          </cell>
          <cell r="FU12">
            <v>0</v>
          </cell>
          <cell r="FV12">
            <v>0</v>
          </cell>
          <cell r="FW12">
            <v>0</v>
          </cell>
          <cell r="FX12" t="str">
            <v>nd</v>
          </cell>
          <cell r="FY12">
            <v>3.5428700000000002</v>
          </cell>
          <cell r="FZ12" t="str">
            <v>nd</v>
          </cell>
          <cell r="GA12">
            <v>0</v>
          </cell>
          <cell r="GB12">
            <v>0</v>
          </cell>
          <cell r="GC12">
            <v>0</v>
          </cell>
          <cell r="GD12">
            <v>0</v>
          </cell>
          <cell r="GE12">
            <v>0</v>
          </cell>
          <cell r="GF12" t="str">
            <v>nd</v>
          </cell>
          <cell r="GG12">
            <v>0</v>
          </cell>
          <cell r="GH12">
            <v>0</v>
          </cell>
          <cell r="GI12">
            <v>0</v>
          </cell>
          <cell r="GJ12" t="str">
            <v>nd</v>
          </cell>
          <cell r="GK12" t="str">
            <v>nd</v>
          </cell>
          <cell r="GL12">
            <v>0</v>
          </cell>
          <cell r="GM12">
            <v>0</v>
          </cell>
          <cell r="GN12" t="str">
            <v>nd</v>
          </cell>
          <cell r="GO12">
            <v>0</v>
          </cell>
          <cell r="GP12">
            <v>8.8665979000000004</v>
          </cell>
          <cell r="GQ12">
            <v>17.5458237</v>
          </cell>
          <cell r="GR12">
            <v>0</v>
          </cell>
          <cell r="GS12">
            <v>0</v>
          </cell>
          <cell r="GT12">
            <v>0</v>
          </cell>
          <cell r="GU12">
            <v>0</v>
          </cell>
          <cell r="GV12">
            <v>30.354242500000002</v>
          </cell>
          <cell r="GW12">
            <v>27.635611900000001</v>
          </cell>
          <cell r="GX12">
            <v>0</v>
          </cell>
          <cell r="GY12">
            <v>0</v>
          </cell>
          <cell r="GZ12">
            <v>0</v>
          </cell>
          <cell r="HA12">
            <v>0</v>
          </cell>
          <cell r="HB12">
            <v>2.3750599999999999</v>
          </cell>
          <cell r="HC12">
            <v>7.3399106000000005</v>
          </cell>
          <cell r="HD12">
            <v>0</v>
          </cell>
          <cell r="HE12">
            <v>0</v>
          </cell>
          <cell r="HF12">
            <v>0</v>
          </cell>
          <cell r="HG12">
            <v>0</v>
          </cell>
          <cell r="HH12">
            <v>0</v>
          </cell>
          <cell r="HI12">
            <v>0</v>
          </cell>
          <cell r="HJ12">
            <v>0</v>
          </cell>
          <cell r="HK12">
            <v>0</v>
          </cell>
          <cell r="HL12">
            <v>0</v>
          </cell>
          <cell r="HM12" t="str">
            <v>nd</v>
          </cell>
          <cell r="HN12" t="str">
            <v>nd</v>
          </cell>
          <cell r="HO12">
            <v>0</v>
          </cell>
          <cell r="HP12">
            <v>0</v>
          </cell>
          <cell r="HQ12">
            <v>0</v>
          </cell>
          <cell r="HR12">
            <v>0</v>
          </cell>
          <cell r="HS12">
            <v>27.933685000000004</v>
          </cell>
          <cell r="HT12">
            <v>2.9333399999999998</v>
          </cell>
          <cell r="HU12">
            <v>0</v>
          </cell>
          <cell r="HV12">
            <v>0</v>
          </cell>
          <cell r="HW12">
            <v>0</v>
          </cell>
          <cell r="HX12">
            <v>2.8520699999999999</v>
          </cell>
          <cell r="HY12">
            <v>38.264437699999995</v>
          </cell>
          <cell r="HZ12">
            <v>14.291317300000001</v>
          </cell>
          <cell r="IA12">
            <v>0</v>
          </cell>
          <cell r="IB12">
            <v>0</v>
          </cell>
          <cell r="IC12">
            <v>0</v>
          </cell>
          <cell r="ID12">
            <v>0</v>
          </cell>
          <cell r="IE12">
            <v>9.8795472999999987</v>
          </cell>
          <cell r="IF12">
            <v>0</v>
          </cell>
          <cell r="IG12">
            <v>0</v>
          </cell>
          <cell r="IH12">
            <v>0</v>
          </cell>
          <cell r="II12">
            <v>0</v>
          </cell>
          <cell r="IJ12">
            <v>0</v>
          </cell>
          <cell r="IK12">
            <v>0</v>
          </cell>
          <cell r="IL12">
            <v>0</v>
          </cell>
          <cell r="IM12">
            <v>0</v>
          </cell>
          <cell r="IN12">
            <v>0</v>
          </cell>
          <cell r="IO12">
            <v>0</v>
          </cell>
          <cell r="IP12" t="str">
            <v>nd</v>
          </cell>
          <cell r="IQ12" t="str">
            <v>nd</v>
          </cell>
          <cell r="IR12">
            <v>0</v>
          </cell>
          <cell r="IS12">
            <v>0</v>
          </cell>
          <cell r="IT12">
            <v>0</v>
          </cell>
          <cell r="IU12">
            <v>4.6578400000000002</v>
          </cell>
          <cell r="IV12">
            <v>26.169817600000002</v>
          </cell>
          <cell r="IW12">
            <v>0</v>
          </cell>
          <cell r="IX12">
            <v>0</v>
          </cell>
          <cell r="IY12">
            <v>0</v>
          </cell>
          <cell r="IZ12">
            <v>0</v>
          </cell>
          <cell r="JA12">
            <v>4.3926699999999999</v>
          </cell>
          <cell r="JB12">
            <v>48.243266200000001</v>
          </cell>
          <cell r="JC12" t="str">
            <v>nd</v>
          </cell>
          <cell r="JD12">
            <v>0</v>
          </cell>
          <cell r="JE12">
            <v>0</v>
          </cell>
          <cell r="JF12">
            <v>0</v>
          </cell>
          <cell r="JG12">
            <v>0</v>
          </cell>
          <cell r="JH12">
            <v>9.8957909999999991</v>
          </cell>
          <cell r="JI12">
            <v>0</v>
          </cell>
          <cell r="JJ12">
            <v>0</v>
          </cell>
          <cell r="JK12">
            <v>0</v>
          </cell>
          <cell r="JL12">
            <v>0</v>
          </cell>
          <cell r="JM12">
            <v>0</v>
          </cell>
          <cell r="JN12">
            <v>0</v>
          </cell>
          <cell r="JO12">
            <v>0</v>
          </cell>
          <cell r="JP12">
            <v>0</v>
          </cell>
          <cell r="JQ12">
            <v>0</v>
          </cell>
          <cell r="JR12">
            <v>0</v>
          </cell>
          <cell r="JS12">
            <v>0</v>
          </cell>
          <cell r="JT12" t="str">
            <v>nd</v>
          </cell>
          <cell r="JU12">
            <v>0</v>
          </cell>
          <cell r="JV12">
            <v>0</v>
          </cell>
          <cell r="JW12">
            <v>0</v>
          </cell>
          <cell r="JX12">
            <v>0</v>
          </cell>
          <cell r="JY12">
            <v>0</v>
          </cell>
          <cell r="JZ12">
            <v>31.3645937</v>
          </cell>
          <cell r="KA12">
            <v>0</v>
          </cell>
          <cell r="KB12">
            <v>0</v>
          </cell>
          <cell r="KC12">
            <v>0</v>
          </cell>
          <cell r="KD12">
            <v>0</v>
          </cell>
          <cell r="KE12">
            <v>0</v>
          </cell>
          <cell r="KF12">
            <v>56.113727499999996</v>
          </cell>
          <cell r="KG12">
            <v>0</v>
          </cell>
          <cell r="KH12">
            <v>0</v>
          </cell>
          <cell r="KI12">
            <v>0</v>
          </cell>
          <cell r="KJ12">
            <v>0</v>
          </cell>
          <cell r="KK12">
            <v>0</v>
          </cell>
          <cell r="KL12">
            <v>9.7978942</v>
          </cell>
          <cell r="KM12">
            <v>79.5</v>
          </cell>
          <cell r="KN12">
            <v>5.2</v>
          </cell>
          <cell r="KO12">
            <v>5.7</v>
          </cell>
          <cell r="KP12">
            <v>4.2</v>
          </cell>
          <cell r="KQ12">
            <v>5.4</v>
          </cell>
          <cell r="KR12">
            <v>0</v>
          </cell>
          <cell r="KS12">
            <v>78.5</v>
          </cell>
          <cell r="KT12">
            <v>5.6000000000000005</v>
          </cell>
          <cell r="KU12">
            <v>5.5</v>
          </cell>
          <cell r="KV12">
            <v>4.3</v>
          </cell>
          <cell r="KW12">
            <v>6</v>
          </cell>
          <cell r="KX12">
            <v>0</v>
          </cell>
          <cell r="KY12"/>
          <cell r="KZ12"/>
          <cell r="LA12"/>
          <cell r="LB12"/>
          <cell r="LC12"/>
          <cell r="LD12"/>
          <cell r="LE12"/>
          <cell r="LF12"/>
          <cell r="LG12"/>
          <cell r="LH12"/>
          <cell r="LI12"/>
          <cell r="LJ12"/>
          <cell r="LK12"/>
          <cell r="LL12"/>
          <cell r="LM12"/>
          <cell r="LN12"/>
          <cell r="LO12"/>
        </row>
        <row r="13">
          <cell r="A13" t="str">
            <v>4C1</v>
          </cell>
          <cell r="B13" t="str">
            <v>13</v>
          </cell>
          <cell r="C13" t="str">
            <v>NAF 17</v>
          </cell>
          <cell r="D13" t="str">
            <v>C1</v>
          </cell>
          <cell r="E13" t="str">
            <v>4</v>
          </cell>
          <cell r="F13">
            <v>0</v>
          </cell>
          <cell r="G13">
            <v>6.9</v>
          </cell>
          <cell r="H13">
            <v>27.400000000000002</v>
          </cell>
          <cell r="I13">
            <v>57.599999999999994</v>
          </cell>
          <cell r="J13">
            <v>8.2000000000000011</v>
          </cell>
          <cell r="K13">
            <v>87.4</v>
          </cell>
          <cell r="L13">
            <v>8.7999999999999989</v>
          </cell>
          <cell r="M13" t="str">
            <v>nd</v>
          </cell>
          <cell r="N13">
            <v>0</v>
          </cell>
          <cell r="O13">
            <v>19.7</v>
          </cell>
          <cell r="P13">
            <v>28.499999999999996</v>
          </cell>
          <cell r="Q13">
            <v>6.2</v>
          </cell>
          <cell r="R13">
            <v>2.2999999999999998</v>
          </cell>
          <cell r="S13">
            <v>17.100000000000001</v>
          </cell>
          <cell r="T13">
            <v>42.8</v>
          </cell>
          <cell r="U13">
            <v>4</v>
          </cell>
          <cell r="V13">
            <v>20.599999999999998</v>
          </cell>
          <cell r="W13">
            <v>11.200000000000001</v>
          </cell>
          <cell r="X13">
            <v>83.2</v>
          </cell>
          <cell r="Y13">
            <v>5.6000000000000005</v>
          </cell>
          <cell r="Z13">
            <v>0</v>
          </cell>
          <cell r="AA13">
            <v>59.8</v>
          </cell>
          <cell r="AB13" t="str">
            <v>nd</v>
          </cell>
          <cell r="AC13">
            <v>80.400000000000006</v>
          </cell>
          <cell r="AD13">
            <v>21.4</v>
          </cell>
          <cell r="AE13">
            <v>51.4</v>
          </cell>
          <cell r="AF13">
            <v>48.6</v>
          </cell>
          <cell r="AG13">
            <v>83.399999999999991</v>
          </cell>
          <cell r="AH13">
            <v>16.600000000000001</v>
          </cell>
          <cell r="AI13">
            <v>37.5</v>
          </cell>
          <cell r="AJ13" t="str">
            <v>nd</v>
          </cell>
          <cell r="AK13" t="str">
            <v>nd</v>
          </cell>
          <cell r="AL13">
            <v>55.1</v>
          </cell>
          <cell r="AM13" t="str">
            <v>nd</v>
          </cell>
          <cell r="AN13">
            <v>8.5</v>
          </cell>
          <cell r="AO13" t="str">
            <v>nd</v>
          </cell>
          <cell r="AP13">
            <v>0</v>
          </cell>
          <cell r="AQ13">
            <v>82.899999999999991</v>
          </cell>
          <cell r="AR13">
            <v>7.6</v>
          </cell>
          <cell r="AS13">
            <v>66.2</v>
          </cell>
          <cell r="AT13">
            <v>13.900000000000002</v>
          </cell>
          <cell r="AU13">
            <v>7.1999999999999993</v>
          </cell>
          <cell r="AV13">
            <v>2.2999999999999998</v>
          </cell>
          <cell r="AW13" t="str">
            <v>nd</v>
          </cell>
          <cell r="AX13">
            <v>8.9</v>
          </cell>
          <cell r="AY13" t="str">
            <v>nd</v>
          </cell>
          <cell r="AZ13" t="str">
            <v>nd</v>
          </cell>
          <cell r="BA13">
            <v>6.6000000000000005</v>
          </cell>
          <cell r="BB13">
            <v>8.9</v>
          </cell>
          <cell r="BC13">
            <v>46.6</v>
          </cell>
          <cell r="BD13">
            <v>37</v>
          </cell>
          <cell r="BE13">
            <v>0</v>
          </cell>
          <cell r="BF13">
            <v>0</v>
          </cell>
          <cell r="BG13" t="str">
            <v>nd</v>
          </cell>
          <cell r="BH13">
            <v>7.6</v>
          </cell>
          <cell r="BI13">
            <v>32.9</v>
          </cell>
          <cell r="BJ13">
            <v>58.699999999999996</v>
          </cell>
          <cell r="BK13">
            <v>0</v>
          </cell>
          <cell r="BL13">
            <v>0</v>
          </cell>
          <cell r="BM13">
            <v>0</v>
          </cell>
          <cell r="BN13">
            <v>6.3</v>
          </cell>
          <cell r="BO13">
            <v>87.1</v>
          </cell>
          <cell r="BP13">
            <v>6.6000000000000005</v>
          </cell>
          <cell r="BQ13">
            <v>0</v>
          </cell>
          <cell r="BR13">
            <v>0</v>
          </cell>
          <cell r="BS13">
            <v>0</v>
          </cell>
          <cell r="BT13">
            <v>14.299999999999999</v>
          </cell>
          <cell r="BU13">
            <v>77.2</v>
          </cell>
          <cell r="BV13">
            <v>8.5</v>
          </cell>
          <cell r="BW13">
            <v>0</v>
          </cell>
          <cell r="BX13">
            <v>0</v>
          </cell>
          <cell r="BY13">
            <v>0</v>
          </cell>
          <cell r="BZ13">
            <v>0</v>
          </cell>
          <cell r="CA13">
            <v>0</v>
          </cell>
          <cell r="CB13">
            <v>100</v>
          </cell>
          <cell r="CC13">
            <v>49.8</v>
          </cell>
          <cell r="CD13">
            <v>8.3000000000000007</v>
          </cell>
          <cell r="CE13">
            <v>3.5000000000000004</v>
          </cell>
          <cell r="CF13" t="str">
            <v>nd</v>
          </cell>
          <cell r="CG13">
            <v>0</v>
          </cell>
          <cell r="CH13">
            <v>20.9</v>
          </cell>
          <cell r="CI13">
            <v>4.3</v>
          </cell>
          <cell r="CJ13">
            <v>36.299999999999997</v>
          </cell>
          <cell r="CK13">
            <v>31.1</v>
          </cell>
          <cell r="CL13">
            <v>7.8</v>
          </cell>
          <cell r="CM13">
            <v>5.0999999999999996</v>
          </cell>
          <cell r="CN13">
            <v>2.1999999999999997</v>
          </cell>
          <cell r="CO13">
            <v>64.600000000000009</v>
          </cell>
          <cell r="CP13">
            <v>29.7</v>
          </cell>
          <cell r="CQ13">
            <v>32.300000000000004</v>
          </cell>
          <cell r="CR13">
            <v>7.5</v>
          </cell>
          <cell r="CS13">
            <v>30.5</v>
          </cell>
          <cell r="CT13">
            <v>16.400000000000002</v>
          </cell>
          <cell r="CU13">
            <v>83.6</v>
          </cell>
          <cell r="CV13">
            <v>10.8</v>
          </cell>
          <cell r="CW13">
            <v>89.2</v>
          </cell>
          <cell r="CX13">
            <v>13.100000000000001</v>
          </cell>
          <cell r="CY13">
            <v>40.9</v>
          </cell>
          <cell r="CZ13">
            <v>46</v>
          </cell>
          <cell r="DA13">
            <v>61.9</v>
          </cell>
          <cell r="DB13">
            <v>0</v>
          </cell>
          <cell r="DC13" t="str">
            <v>nd</v>
          </cell>
          <cell r="DD13" t="str">
            <v>nd</v>
          </cell>
          <cell r="DE13">
            <v>38.1</v>
          </cell>
          <cell r="DF13">
            <v>37.6</v>
          </cell>
          <cell r="DG13">
            <v>5.5</v>
          </cell>
          <cell r="DH13">
            <v>13.700000000000001</v>
          </cell>
          <cell r="DI13">
            <v>11.899999999999999</v>
          </cell>
          <cell r="DJ13">
            <v>14.899999999999999</v>
          </cell>
          <cell r="DK13">
            <v>16.400000000000002</v>
          </cell>
          <cell r="DL13">
            <v>33.300000000000004</v>
          </cell>
          <cell r="DM13">
            <v>36.799999999999997</v>
          </cell>
          <cell r="DN13">
            <v>6</v>
          </cell>
          <cell r="DO13">
            <v>11.1</v>
          </cell>
          <cell r="DP13">
            <v>3.1</v>
          </cell>
          <cell r="DQ13">
            <v>0</v>
          </cell>
          <cell r="DR13">
            <v>4.5</v>
          </cell>
          <cell r="DS13">
            <v>9.1999999999999993</v>
          </cell>
          <cell r="DT13">
            <v>20.7</v>
          </cell>
          <cell r="DU13">
            <v>0</v>
          </cell>
          <cell r="DV13">
            <v>0</v>
          </cell>
          <cell r="DW13">
            <v>0</v>
          </cell>
          <cell r="DX13">
            <v>0</v>
          </cell>
          <cell r="DY13">
            <v>0</v>
          </cell>
          <cell r="DZ13">
            <v>2.4518300000000002</v>
          </cell>
          <cell r="EA13">
            <v>2.4380700000000002</v>
          </cell>
          <cell r="EB13" t="str">
            <v>nd</v>
          </cell>
          <cell r="EC13" t="str">
            <v>nd</v>
          </cell>
          <cell r="ED13">
            <v>0</v>
          </cell>
          <cell r="EE13" t="str">
            <v>nd</v>
          </cell>
          <cell r="EF13">
            <v>14.0898138</v>
          </cell>
          <cell r="EG13">
            <v>7.2514363999999993</v>
          </cell>
          <cell r="EH13">
            <v>2.7912300000000001</v>
          </cell>
          <cell r="EI13" t="str">
            <v>nd</v>
          </cell>
          <cell r="EJ13">
            <v>0</v>
          </cell>
          <cell r="EK13" t="str">
            <v>nd</v>
          </cell>
          <cell r="EL13">
            <v>44.941433099999998</v>
          </cell>
          <cell r="EM13">
            <v>2.30966</v>
          </cell>
          <cell r="EN13">
            <v>3.4197800000000003</v>
          </cell>
          <cell r="EO13">
            <v>0</v>
          </cell>
          <cell r="EP13" t="str">
            <v>nd</v>
          </cell>
          <cell r="EQ13">
            <v>5.3910999999999998</v>
          </cell>
          <cell r="ER13">
            <v>4.7601599999999999</v>
          </cell>
          <cell r="ES13">
            <v>1.9166400000000001</v>
          </cell>
          <cell r="ET13" t="str">
            <v>nd</v>
          </cell>
          <cell r="EU13">
            <v>0</v>
          </cell>
          <cell r="EV13">
            <v>0</v>
          </cell>
          <cell r="EW13" t="str">
            <v>nd</v>
          </cell>
          <cell r="EX13">
            <v>0</v>
          </cell>
          <cell r="EY13">
            <v>0</v>
          </cell>
          <cell r="EZ13">
            <v>0</v>
          </cell>
          <cell r="FA13">
            <v>0</v>
          </cell>
          <cell r="FB13">
            <v>0</v>
          </cell>
          <cell r="FC13">
            <v>0</v>
          </cell>
          <cell r="FD13">
            <v>0</v>
          </cell>
          <cell r="FE13" t="str">
            <v>nd</v>
          </cell>
          <cell r="FF13" t="str">
            <v>nd</v>
          </cell>
          <cell r="FG13">
            <v>3.78545</v>
          </cell>
          <cell r="FH13" t="str">
            <v>nd</v>
          </cell>
          <cell r="FI13" t="str">
            <v>nd</v>
          </cell>
          <cell r="FJ13">
            <v>0</v>
          </cell>
          <cell r="FK13" t="str">
            <v>nd</v>
          </cell>
          <cell r="FL13">
            <v>3.1447400000000001</v>
          </cell>
          <cell r="FM13">
            <v>11.935289899999999</v>
          </cell>
          <cell r="FN13">
            <v>10.960368600000001</v>
          </cell>
          <cell r="FO13">
            <v>0</v>
          </cell>
          <cell r="FP13">
            <v>0</v>
          </cell>
          <cell r="FQ13">
            <v>3.3541699999999999</v>
          </cell>
          <cell r="FR13">
            <v>4.7541500000000001</v>
          </cell>
          <cell r="FS13">
            <v>27.5657441</v>
          </cell>
          <cell r="FT13">
            <v>21.867566999999998</v>
          </cell>
          <cell r="FU13">
            <v>0</v>
          </cell>
          <cell r="FV13" t="str">
            <v>nd</v>
          </cell>
          <cell r="FW13" t="str">
            <v>nd</v>
          </cell>
          <cell r="FX13" t="str">
            <v>nd</v>
          </cell>
          <cell r="FY13">
            <v>3.3541799999999995</v>
          </cell>
          <cell r="FZ13">
            <v>2.25644</v>
          </cell>
          <cell r="GA13">
            <v>0</v>
          </cell>
          <cell r="GB13">
            <v>0</v>
          </cell>
          <cell r="GC13">
            <v>0</v>
          </cell>
          <cell r="GD13">
            <v>0</v>
          </cell>
          <cell r="GE13">
            <v>0</v>
          </cell>
          <cell r="GF13">
            <v>0</v>
          </cell>
          <cell r="GG13">
            <v>0</v>
          </cell>
          <cell r="GH13" t="str">
            <v>nd</v>
          </cell>
          <cell r="GI13" t="str">
            <v>nd</v>
          </cell>
          <cell r="GJ13" t="str">
            <v>nd</v>
          </cell>
          <cell r="GK13">
            <v>2.5067599999999999</v>
          </cell>
          <cell r="GL13">
            <v>0</v>
          </cell>
          <cell r="GM13">
            <v>0</v>
          </cell>
          <cell r="GN13">
            <v>0</v>
          </cell>
          <cell r="GO13">
            <v>4.1780400000000002</v>
          </cell>
          <cell r="GP13">
            <v>8.3134263999999991</v>
          </cell>
          <cell r="GQ13">
            <v>14.372296100000002</v>
          </cell>
          <cell r="GR13">
            <v>0</v>
          </cell>
          <cell r="GS13">
            <v>0</v>
          </cell>
          <cell r="GT13">
            <v>0</v>
          </cell>
          <cell r="GU13">
            <v>0</v>
          </cell>
          <cell r="GV13">
            <v>20.462701599999999</v>
          </cell>
          <cell r="GW13">
            <v>36.8927531</v>
          </cell>
          <cell r="GX13">
            <v>0</v>
          </cell>
          <cell r="GY13">
            <v>0</v>
          </cell>
          <cell r="GZ13">
            <v>0</v>
          </cell>
          <cell r="HA13" t="str">
            <v>nd</v>
          </cell>
          <cell r="HB13">
            <v>2.7316699999999998</v>
          </cell>
          <cell r="HC13">
            <v>4.9041300000000003</v>
          </cell>
          <cell r="HD13">
            <v>0</v>
          </cell>
          <cell r="HE13">
            <v>0</v>
          </cell>
          <cell r="HF13">
            <v>0</v>
          </cell>
          <cell r="HG13">
            <v>0</v>
          </cell>
          <cell r="HH13">
            <v>0</v>
          </cell>
          <cell r="HI13">
            <v>0</v>
          </cell>
          <cell r="HJ13">
            <v>0</v>
          </cell>
          <cell r="HK13">
            <v>0</v>
          </cell>
          <cell r="HL13">
            <v>0</v>
          </cell>
          <cell r="HM13">
            <v>4.02841</v>
          </cell>
          <cell r="HN13" t="str">
            <v>nd</v>
          </cell>
          <cell r="HO13">
            <v>0</v>
          </cell>
          <cell r="HP13">
            <v>0</v>
          </cell>
          <cell r="HQ13">
            <v>0</v>
          </cell>
          <cell r="HR13">
            <v>0</v>
          </cell>
          <cell r="HS13">
            <v>25.996407300000001</v>
          </cell>
          <cell r="HT13" t="str">
            <v>nd</v>
          </cell>
          <cell r="HU13">
            <v>0</v>
          </cell>
          <cell r="HV13">
            <v>0</v>
          </cell>
          <cell r="HW13">
            <v>0</v>
          </cell>
          <cell r="HX13">
            <v>5.5921199999999995</v>
          </cell>
          <cell r="HY13">
            <v>49.777343000000002</v>
          </cell>
          <cell r="HZ13">
            <v>4.0968400000000003</v>
          </cell>
          <cell r="IA13">
            <v>0</v>
          </cell>
          <cell r="IB13">
            <v>0</v>
          </cell>
          <cell r="IC13">
            <v>0</v>
          </cell>
          <cell r="ID13" t="str">
            <v>nd</v>
          </cell>
          <cell r="IE13">
            <v>7.2693493999999994</v>
          </cell>
          <cell r="IF13" t="str">
            <v>nd</v>
          </cell>
          <cell r="IG13">
            <v>0</v>
          </cell>
          <cell r="IH13">
            <v>0</v>
          </cell>
          <cell r="II13">
            <v>0</v>
          </cell>
          <cell r="IJ13">
            <v>0</v>
          </cell>
          <cell r="IK13">
            <v>0</v>
          </cell>
          <cell r="IL13">
            <v>0</v>
          </cell>
          <cell r="IM13">
            <v>0</v>
          </cell>
          <cell r="IN13">
            <v>0</v>
          </cell>
          <cell r="IO13" t="str">
            <v>nd</v>
          </cell>
          <cell r="IP13">
            <v>3.9040900000000005</v>
          </cell>
          <cell r="IQ13" t="str">
            <v>nd</v>
          </cell>
          <cell r="IR13">
            <v>0</v>
          </cell>
          <cell r="IS13">
            <v>0</v>
          </cell>
          <cell r="IT13">
            <v>0</v>
          </cell>
          <cell r="IU13">
            <v>5.1903999999999995</v>
          </cell>
          <cell r="IV13">
            <v>20.6828842</v>
          </cell>
          <cell r="IW13" t="str">
            <v>nd</v>
          </cell>
          <cell r="IX13">
            <v>0</v>
          </cell>
          <cell r="IY13">
            <v>0</v>
          </cell>
          <cell r="IZ13">
            <v>0</v>
          </cell>
          <cell r="JA13">
            <v>6.5285016999999996</v>
          </cell>
          <cell r="JB13">
            <v>45.0084205</v>
          </cell>
          <cell r="JC13">
            <v>5.9798900000000001</v>
          </cell>
          <cell r="JD13">
            <v>0</v>
          </cell>
          <cell r="JE13">
            <v>0</v>
          </cell>
          <cell r="JF13">
            <v>0</v>
          </cell>
          <cell r="JG13" t="str">
            <v>nd</v>
          </cell>
          <cell r="JH13">
            <v>7.5125376999999993</v>
          </cell>
          <cell r="JI13">
            <v>0</v>
          </cell>
          <cell r="JJ13">
            <v>0</v>
          </cell>
          <cell r="JK13">
            <v>0</v>
          </cell>
          <cell r="JL13">
            <v>0</v>
          </cell>
          <cell r="JM13">
            <v>0</v>
          </cell>
          <cell r="JN13">
            <v>0</v>
          </cell>
          <cell r="JO13">
            <v>0</v>
          </cell>
          <cell r="JP13">
            <v>0</v>
          </cell>
          <cell r="JQ13">
            <v>0</v>
          </cell>
          <cell r="JR13">
            <v>0</v>
          </cell>
          <cell r="JS13">
            <v>0</v>
          </cell>
          <cell r="JT13">
            <v>6.8733761000000007</v>
          </cell>
          <cell r="JU13">
            <v>0</v>
          </cell>
          <cell r="JV13">
            <v>0</v>
          </cell>
          <cell r="JW13">
            <v>0</v>
          </cell>
          <cell r="JX13">
            <v>0</v>
          </cell>
          <cell r="JY13">
            <v>0</v>
          </cell>
          <cell r="JZ13">
            <v>28.230459600000003</v>
          </cell>
          <cell r="KA13">
            <v>0</v>
          </cell>
          <cell r="KB13">
            <v>0</v>
          </cell>
          <cell r="KC13">
            <v>0</v>
          </cell>
          <cell r="KD13">
            <v>0</v>
          </cell>
          <cell r="KE13">
            <v>0</v>
          </cell>
          <cell r="KF13">
            <v>57.592476500000004</v>
          </cell>
          <cell r="KG13">
            <v>0</v>
          </cell>
          <cell r="KH13">
            <v>0</v>
          </cell>
          <cell r="KI13">
            <v>0</v>
          </cell>
          <cell r="KJ13">
            <v>0</v>
          </cell>
          <cell r="KK13">
            <v>0</v>
          </cell>
          <cell r="KL13">
            <v>7.3036877999999996</v>
          </cell>
          <cell r="KM13">
            <v>69.899999999999991</v>
          </cell>
          <cell r="KN13">
            <v>9</v>
          </cell>
          <cell r="KO13">
            <v>3.9</v>
          </cell>
          <cell r="KP13">
            <v>8.4</v>
          </cell>
          <cell r="KQ13">
            <v>8.7999999999999989</v>
          </cell>
          <cell r="KR13">
            <v>0</v>
          </cell>
          <cell r="KS13">
            <v>68.2</v>
          </cell>
          <cell r="KT13">
            <v>9.1999999999999993</v>
          </cell>
          <cell r="KU13">
            <v>4.3</v>
          </cell>
          <cell r="KV13">
            <v>8.6</v>
          </cell>
          <cell r="KW13">
            <v>9.6</v>
          </cell>
          <cell r="KX13">
            <v>0</v>
          </cell>
          <cell r="KY13"/>
          <cell r="KZ13"/>
          <cell r="LA13"/>
          <cell r="LB13"/>
          <cell r="LC13"/>
          <cell r="LD13"/>
          <cell r="LE13"/>
          <cell r="LF13"/>
          <cell r="LG13"/>
          <cell r="LH13"/>
          <cell r="LI13"/>
          <cell r="LJ13"/>
          <cell r="LK13"/>
          <cell r="LL13"/>
          <cell r="LM13"/>
          <cell r="LN13"/>
          <cell r="LO13"/>
        </row>
        <row r="14">
          <cell r="A14" t="str">
            <v>5C1</v>
          </cell>
          <cell r="B14" t="str">
            <v>14</v>
          </cell>
          <cell r="C14" t="str">
            <v>NAF 17</v>
          </cell>
          <cell r="D14" t="str">
            <v>C1</v>
          </cell>
          <cell r="E14" t="str">
            <v>5</v>
          </cell>
          <cell r="F14">
            <v>0</v>
          </cell>
          <cell r="G14">
            <v>6.4</v>
          </cell>
          <cell r="H14">
            <v>26.900000000000002</v>
          </cell>
          <cell r="I14">
            <v>60</v>
          </cell>
          <cell r="J14">
            <v>6.7</v>
          </cell>
          <cell r="K14">
            <v>85.1</v>
          </cell>
          <cell r="L14" t="str">
            <v>nd</v>
          </cell>
          <cell r="M14" t="str">
            <v>nd</v>
          </cell>
          <cell r="N14" t="str">
            <v>nd</v>
          </cell>
          <cell r="O14">
            <v>20.200000000000003</v>
          </cell>
          <cell r="P14">
            <v>25.7</v>
          </cell>
          <cell r="Q14">
            <v>5.3</v>
          </cell>
          <cell r="R14">
            <v>9.9</v>
          </cell>
          <cell r="S14">
            <v>13.5</v>
          </cell>
          <cell r="T14">
            <v>49.8</v>
          </cell>
          <cell r="U14">
            <v>5.5</v>
          </cell>
          <cell r="V14">
            <v>16.2</v>
          </cell>
          <cell r="W14">
            <v>15.9</v>
          </cell>
          <cell r="X14">
            <v>78.5</v>
          </cell>
          <cell r="Y14">
            <v>5.6000000000000005</v>
          </cell>
          <cell r="Z14">
            <v>0</v>
          </cell>
          <cell r="AA14">
            <v>62.1</v>
          </cell>
          <cell r="AB14" t="str">
            <v>nd</v>
          </cell>
          <cell r="AC14">
            <v>63.4</v>
          </cell>
          <cell r="AD14" t="str">
            <v>nd</v>
          </cell>
          <cell r="AE14">
            <v>68.5</v>
          </cell>
          <cell r="AF14">
            <v>31.5</v>
          </cell>
          <cell r="AG14">
            <v>85.1</v>
          </cell>
          <cell r="AH14">
            <v>14.899999999999999</v>
          </cell>
          <cell r="AI14">
            <v>33</v>
          </cell>
          <cell r="AJ14" t="str">
            <v>nd</v>
          </cell>
          <cell r="AK14" t="str">
            <v>nd</v>
          </cell>
          <cell r="AL14">
            <v>63.2</v>
          </cell>
          <cell r="AM14">
            <v>0</v>
          </cell>
          <cell r="AN14">
            <v>7.1</v>
          </cell>
          <cell r="AO14">
            <v>0</v>
          </cell>
          <cell r="AP14" t="str">
            <v>nd</v>
          </cell>
          <cell r="AQ14">
            <v>88.2</v>
          </cell>
          <cell r="AR14">
            <v>4.1000000000000005</v>
          </cell>
          <cell r="AS14">
            <v>78</v>
          </cell>
          <cell r="AT14">
            <v>10.5</v>
          </cell>
          <cell r="AU14">
            <v>6.6000000000000005</v>
          </cell>
          <cell r="AV14" t="str">
            <v>nd</v>
          </cell>
          <cell r="AW14" t="str">
            <v>nd</v>
          </cell>
          <cell r="AX14" t="str">
            <v>nd</v>
          </cell>
          <cell r="AY14">
            <v>0</v>
          </cell>
          <cell r="AZ14" t="str">
            <v>nd</v>
          </cell>
          <cell r="BA14">
            <v>6.2</v>
          </cell>
          <cell r="BB14">
            <v>10.6</v>
          </cell>
          <cell r="BC14">
            <v>48.9</v>
          </cell>
          <cell r="BD14">
            <v>31.7</v>
          </cell>
          <cell r="BE14">
            <v>0</v>
          </cell>
          <cell r="BF14" t="str">
            <v>nd</v>
          </cell>
          <cell r="BG14" t="str">
            <v>nd</v>
          </cell>
          <cell r="BH14">
            <v>4.2</v>
          </cell>
          <cell r="BI14">
            <v>50.3</v>
          </cell>
          <cell r="BJ14">
            <v>43.7</v>
          </cell>
          <cell r="BK14">
            <v>0</v>
          </cell>
          <cell r="BL14">
            <v>0</v>
          </cell>
          <cell r="BM14">
            <v>0</v>
          </cell>
          <cell r="BN14">
            <v>19</v>
          </cell>
          <cell r="BO14">
            <v>77.8</v>
          </cell>
          <cell r="BP14">
            <v>3.2</v>
          </cell>
          <cell r="BQ14" t="str">
            <v>nd</v>
          </cell>
          <cell r="BR14">
            <v>0</v>
          </cell>
          <cell r="BS14">
            <v>0</v>
          </cell>
          <cell r="BT14">
            <v>12.4</v>
          </cell>
          <cell r="BU14">
            <v>85.7</v>
          </cell>
          <cell r="BV14" t="str">
            <v>nd</v>
          </cell>
          <cell r="BW14">
            <v>0</v>
          </cell>
          <cell r="BX14">
            <v>0</v>
          </cell>
          <cell r="BY14">
            <v>0</v>
          </cell>
          <cell r="BZ14">
            <v>0</v>
          </cell>
          <cell r="CA14">
            <v>0</v>
          </cell>
          <cell r="CB14">
            <v>100</v>
          </cell>
          <cell r="CC14">
            <v>46.7</v>
          </cell>
          <cell r="CD14">
            <v>8.3000000000000007</v>
          </cell>
          <cell r="CE14">
            <v>2.5</v>
          </cell>
          <cell r="CF14">
            <v>1.7999999999999998</v>
          </cell>
          <cell r="CG14" t="str">
            <v>nd</v>
          </cell>
          <cell r="CH14">
            <v>9.1</v>
          </cell>
          <cell r="CI14">
            <v>6.6000000000000005</v>
          </cell>
          <cell r="CJ14">
            <v>41.3</v>
          </cell>
          <cell r="CK14">
            <v>31.4</v>
          </cell>
          <cell r="CL14">
            <v>10.7</v>
          </cell>
          <cell r="CM14">
            <v>5.5</v>
          </cell>
          <cell r="CN14">
            <v>0</v>
          </cell>
          <cell r="CO14">
            <v>61.8</v>
          </cell>
          <cell r="CP14">
            <v>29.299999999999997</v>
          </cell>
          <cell r="CQ14">
            <v>28.1</v>
          </cell>
          <cell r="CR14">
            <v>6.1</v>
          </cell>
          <cell r="CS14">
            <v>36.4</v>
          </cell>
          <cell r="CT14">
            <v>18.5</v>
          </cell>
          <cell r="CU14">
            <v>81.5</v>
          </cell>
          <cell r="CV14">
            <v>2.5</v>
          </cell>
          <cell r="CW14">
            <v>97.5</v>
          </cell>
          <cell r="CX14">
            <v>12.9</v>
          </cell>
          <cell r="CY14">
            <v>53.900000000000006</v>
          </cell>
          <cell r="CZ14">
            <v>33.200000000000003</v>
          </cell>
          <cell r="DA14" t="str">
            <v>nd</v>
          </cell>
          <cell r="DB14">
            <v>0</v>
          </cell>
          <cell r="DC14" t="str">
            <v>nd</v>
          </cell>
          <cell r="DD14" t="str">
            <v>nd</v>
          </cell>
          <cell r="DE14">
            <v>68.400000000000006</v>
          </cell>
          <cell r="DF14">
            <v>30.7</v>
          </cell>
          <cell r="DG14">
            <v>5.8999999999999995</v>
          </cell>
          <cell r="DH14">
            <v>16.8</v>
          </cell>
          <cell r="DI14">
            <v>7.1</v>
          </cell>
          <cell r="DJ14">
            <v>20.5</v>
          </cell>
          <cell r="DK14">
            <v>19.100000000000001</v>
          </cell>
          <cell r="DL14">
            <v>31.6</v>
          </cell>
          <cell r="DM14">
            <v>37.299999999999997</v>
          </cell>
          <cell r="DN14">
            <v>5.7</v>
          </cell>
          <cell r="DO14">
            <v>17.399999999999999</v>
          </cell>
          <cell r="DP14">
            <v>7.1999999999999993</v>
          </cell>
          <cell r="DQ14" t="str">
            <v>nd</v>
          </cell>
          <cell r="DR14">
            <v>6</v>
          </cell>
          <cell r="DS14">
            <v>16.5</v>
          </cell>
          <cell r="DT14">
            <v>12.3</v>
          </cell>
          <cell r="DU14">
            <v>0</v>
          </cell>
          <cell r="DV14">
            <v>0</v>
          </cell>
          <cell r="DW14">
            <v>0</v>
          </cell>
          <cell r="DX14">
            <v>0</v>
          </cell>
          <cell r="DY14">
            <v>0</v>
          </cell>
          <cell r="DZ14" t="str">
            <v>nd</v>
          </cell>
          <cell r="EA14" t="str">
            <v>nd</v>
          </cell>
          <cell r="EB14" t="str">
            <v>nd</v>
          </cell>
          <cell r="EC14">
            <v>0</v>
          </cell>
          <cell r="ED14" t="str">
            <v>nd</v>
          </cell>
          <cell r="EE14">
            <v>0</v>
          </cell>
          <cell r="EF14">
            <v>17.987879100000001</v>
          </cell>
          <cell r="EG14">
            <v>4.4586699999999997</v>
          </cell>
          <cell r="EH14">
            <v>4.57803</v>
          </cell>
          <cell r="EI14">
            <v>0</v>
          </cell>
          <cell r="EJ14">
            <v>0</v>
          </cell>
          <cell r="EK14">
            <v>0</v>
          </cell>
          <cell r="EL14">
            <v>52.318870199999999</v>
          </cell>
          <cell r="EM14">
            <v>2.3111999999999999</v>
          </cell>
          <cell r="EN14" t="str">
            <v>nd</v>
          </cell>
          <cell r="EO14" t="str">
            <v>nd</v>
          </cell>
          <cell r="EP14" t="str">
            <v>nd</v>
          </cell>
          <cell r="EQ14" t="str">
            <v>nd</v>
          </cell>
          <cell r="ER14">
            <v>5.6292300000000006</v>
          </cell>
          <cell r="ES14" t="str">
            <v>nd</v>
          </cell>
          <cell r="ET14">
            <v>0</v>
          </cell>
          <cell r="EU14">
            <v>0</v>
          </cell>
          <cell r="EV14">
            <v>0</v>
          </cell>
          <cell r="EW14">
            <v>0</v>
          </cell>
          <cell r="EX14">
            <v>0</v>
          </cell>
          <cell r="EY14">
            <v>0</v>
          </cell>
          <cell r="EZ14">
            <v>0</v>
          </cell>
          <cell r="FA14">
            <v>0</v>
          </cell>
          <cell r="FB14">
            <v>0</v>
          </cell>
          <cell r="FC14">
            <v>0</v>
          </cell>
          <cell r="FD14">
            <v>0</v>
          </cell>
          <cell r="FE14">
            <v>0</v>
          </cell>
          <cell r="FF14">
            <v>0</v>
          </cell>
          <cell r="FG14">
            <v>4.1997200000000001</v>
          </cell>
          <cell r="FH14" t="str">
            <v>nd</v>
          </cell>
          <cell r="FI14">
            <v>0</v>
          </cell>
          <cell r="FJ14">
            <v>0</v>
          </cell>
          <cell r="FK14" t="str">
            <v>nd</v>
          </cell>
          <cell r="FL14" t="str">
            <v>nd</v>
          </cell>
          <cell r="FM14">
            <v>13.7836441</v>
          </cell>
          <cell r="FN14">
            <v>8.4022740999999996</v>
          </cell>
          <cell r="FO14">
            <v>0</v>
          </cell>
          <cell r="FP14" t="str">
            <v>nd</v>
          </cell>
          <cell r="FQ14">
            <v>3.1669700000000001</v>
          </cell>
          <cell r="FR14">
            <v>9.0215935999999992</v>
          </cell>
          <cell r="FS14">
            <v>27.030326599999999</v>
          </cell>
          <cell r="FT14">
            <v>19.716498299999998</v>
          </cell>
          <cell r="FU14">
            <v>0</v>
          </cell>
          <cell r="FV14" t="str">
            <v>nd</v>
          </cell>
          <cell r="FW14">
            <v>0</v>
          </cell>
          <cell r="FX14">
            <v>0</v>
          </cell>
          <cell r="FY14">
            <v>3.84911</v>
          </cell>
          <cell r="FZ14" t="str">
            <v>nd</v>
          </cell>
          <cell r="GA14">
            <v>0</v>
          </cell>
          <cell r="GB14">
            <v>0</v>
          </cell>
          <cell r="GC14">
            <v>0</v>
          </cell>
          <cell r="GD14">
            <v>0</v>
          </cell>
          <cell r="GE14">
            <v>0</v>
          </cell>
          <cell r="GF14">
            <v>0</v>
          </cell>
          <cell r="GG14" t="str">
            <v>nd</v>
          </cell>
          <cell r="GH14">
            <v>0</v>
          </cell>
          <cell r="GI14" t="str">
            <v>nd</v>
          </cell>
          <cell r="GJ14">
            <v>4.0055899999999998</v>
          </cell>
          <cell r="GK14" t="str">
            <v>nd</v>
          </cell>
          <cell r="GL14">
            <v>0</v>
          </cell>
          <cell r="GM14">
            <v>0</v>
          </cell>
          <cell r="GN14" t="str">
            <v>nd</v>
          </cell>
          <cell r="GO14">
            <v>0</v>
          </cell>
          <cell r="GP14">
            <v>17.1385577</v>
          </cell>
          <cell r="GQ14">
            <v>8.3250208000000008</v>
          </cell>
          <cell r="GR14">
            <v>0</v>
          </cell>
          <cell r="GS14">
            <v>0</v>
          </cell>
          <cell r="GT14">
            <v>0</v>
          </cell>
          <cell r="GU14" t="str">
            <v>nd</v>
          </cell>
          <cell r="GV14">
            <v>26.407032099999999</v>
          </cell>
          <cell r="GW14">
            <v>31.1315256</v>
          </cell>
          <cell r="GX14">
            <v>0</v>
          </cell>
          <cell r="GY14">
            <v>0</v>
          </cell>
          <cell r="GZ14">
            <v>0</v>
          </cell>
          <cell r="HA14" t="str">
            <v>nd</v>
          </cell>
          <cell r="HB14">
            <v>2.7385099999999998</v>
          </cell>
          <cell r="HC14">
            <v>3.5446300000000002</v>
          </cell>
          <cell r="HD14">
            <v>0</v>
          </cell>
          <cell r="HE14">
            <v>0</v>
          </cell>
          <cell r="HF14">
            <v>0</v>
          </cell>
          <cell r="HG14">
            <v>0</v>
          </cell>
          <cell r="HH14">
            <v>0</v>
          </cell>
          <cell r="HI14">
            <v>0</v>
          </cell>
          <cell r="HJ14">
            <v>0</v>
          </cell>
          <cell r="HK14">
            <v>0</v>
          </cell>
          <cell r="HL14" t="str">
            <v>nd</v>
          </cell>
          <cell r="HM14">
            <v>4.8864600000000005</v>
          </cell>
          <cell r="HN14">
            <v>0</v>
          </cell>
          <cell r="HO14">
            <v>0</v>
          </cell>
          <cell r="HP14">
            <v>0</v>
          </cell>
          <cell r="HQ14">
            <v>0</v>
          </cell>
          <cell r="HR14">
            <v>8.3086178999999998</v>
          </cell>
          <cell r="HS14">
            <v>16.9208772</v>
          </cell>
          <cell r="HT14" t="str">
            <v>nd</v>
          </cell>
          <cell r="HU14">
            <v>0</v>
          </cell>
          <cell r="HV14">
            <v>0</v>
          </cell>
          <cell r="HW14">
            <v>0</v>
          </cell>
          <cell r="HX14">
            <v>7.8162495999999999</v>
          </cell>
          <cell r="HY14">
            <v>50.363340700000002</v>
          </cell>
          <cell r="HZ14" t="str">
            <v>nd</v>
          </cell>
          <cell r="IA14">
            <v>0</v>
          </cell>
          <cell r="IB14">
            <v>0</v>
          </cell>
          <cell r="IC14">
            <v>0</v>
          </cell>
          <cell r="ID14" t="str">
            <v>nd</v>
          </cell>
          <cell r="IE14">
            <v>5.5779700000000005</v>
          </cell>
          <cell r="IF14">
            <v>0</v>
          </cell>
          <cell r="IG14">
            <v>0</v>
          </cell>
          <cell r="IH14">
            <v>0</v>
          </cell>
          <cell r="II14">
            <v>0</v>
          </cell>
          <cell r="IJ14">
            <v>0</v>
          </cell>
          <cell r="IK14">
            <v>0</v>
          </cell>
          <cell r="IL14">
            <v>0</v>
          </cell>
          <cell r="IM14">
            <v>0</v>
          </cell>
          <cell r="IN14">
            <v>0</v>
          </cell>
          <cell r="IO14">
            <v>0</v>
          </cell>
          <cell r="IP14">
            <v>5.5167299999999999</v>
          </cell>
          <cell r="IQ14" t="str">
            <v>nd</v>
          </cell>
          <cell r="IR14">
            <v>0</v>
          </cell>
          <cell r="IS14">
            <v>0</v>
          </cell>
          <cell r="IT14">
            <v>0</v>
          </cell>
          <cell r="IU14">
            <v>5.36592</v>
          </cell>
          <cell r="IV14">
            <v>20.946372399999998</v>
          </cell>
          <cell r="IW14" t="str">
            <v>nd</v>
          </cell>
          <cell r="IX14" t="str">
            <v>nd</v>
          </cell>
          <cell r="IY14">
            <v>0</v>
          </cell>
          <cell r="IZ14">
            <v>0</v>
          </cell>
          <cell r="JA14">
            <v>5.5664800000000003</v>
          </cell>
          <cell r="JB14">
            <v>53.984560400000007</v>
          </cell>
          <cell r="JC14">
            <v>0</v>
          </cell>
          <cell r="JD14">
            <v>0</v>
          </cell>
          <cell r="JE14">
            <v>0</v>
          </cell>
          <cell r="JF14">
            <v>0</v>
          </cell>
          <cell r="JG14" t="str">
            <v>nd</v>
          </cell>
          <cell r="JH14">
            <v>5.2041200000000005</v>
          </cell>
          <cell r="JI14">
            <v>0</v>
          </cell>
          <cell r="JJ14">
            <v>0</v>
          </cell>
          <cell r="JK14">
            <v>0</v>
          </cell>
          <cell r="JL14">
            <v>0</v>
          </cell>
          <cell r="JM14">
            <v>0</v>
          </cell>
          <cell r="JN14">
            <v>0</v>
          </cell>
          <cell r="JO14">
            <v>0</v>
          </cell>
          <cell r="JP14">
            <v>0</v>
          </cell>
          <cell r="JQ14">
            <v>0</v>
          </cell>
          <cell r="JR14">
            <v>0</v>
          </cell>
          <cell r="JS14">
            <v>0</v>
          </cell>
          <cell r="JT14">
            <v>6.8998618999999994</v>
          </cell>
          <cell r="JU14">
            <v>0</v>
          </cell>
          <cell r="JV14">
            <v>0</v>
          </cell>
          <cell r="JW14">
            <v>0</v>
          </cell>
          <cell r="JX14">
            <v>0</v>
          </cell>
          <cell r="JY14">
            <v>0</v>
          </cell>
          <cell r="JZ14">
            <v>25.2560444</v>
          </cell>
          <cell r="KA14">
            <v>0</v>
          </cell>
          <cell r="KB14">
            <v>0</v>
          </cell>
          <cell r="KC14">
            <v>0</v>
          </cell>
          <cell r="KD14">
            <v>0</v>
          </cell>
          <cell r="KE14">
            <v>0</v>
          </cell>
          <cell r="KF14">
            <v>60.706524799999997</v>
          </cell>
          <cell r="KG14">
            <v>0</v>
          </cell>
          <cell r="KH14">
            <v>0</v>
          </cell>
          <cell r="KI14">
            <v>0</v>
          </cell>
          <cell r="KJ14">
            <v>0</v>
          </cell>
          <cell r="KK14">
            <v>0</v>
          </cell>
          <cell r="KL14">
            <v>7.1375688000000004</v>
          </cell>
          <cell r="KM14">
            <v>73.099999999999994</v>
          </cell>
          <cell r="KN14">
            <v>8.4</v>
          </cell>
          <cell r="KO14">
            <v>4.3</v>
          </cell>
          <cell r="KP14">
            <v>7.3999999999999995</v>
          </cell>
          <cell r="KQ14">
            <v>6.9</v>
          </cell>
          <cell r="KR14">
            <v>0</v>
          </cell>
          <cell r="KS14">
            <v>71</v>
          </cell>
          <cell r="KT14">
            <v>8.5</v>
          </cell>
          <cell r="KU14">
            <v>4.5</v>
          </cell>
          <cell r="KV14">
            <v>8.5</v>
          </cell>
          <cell r="KW14">
            <v>7.5</v>
          </cell>
          <cell r="KX14">
            <v>0</v>
          </cell>
          <cell r="KY14"/>
          <cell r="KZ14"/>
          <cell r="LA14"/>
          <cell r="LB14"/>
          <cell r="LC14"/>
          <cell r="LD14"/>
          <cell r="LE14"/>
          <cell r="LF14"/>
          <cell r="LG14"/>
          <cell r="LH14"/>
          <cell r="LI14"/>
          <cell r="LJ14"/>
          <cell r="LK14"/>
          <cell r="LL14"/>
          <cell r="LM14"/>
          <cell r="LN14"/>
          <cell r="LO14"/>
        </row>
        <row r="15">
          <cell r="A15" t="str">
            <v>6C1</v>
          </cell>
          <cell r="B15" t="str">
            <v>15</v>
          </cell>
          <cell r="C15" t="str">
            <v>NAF 17</v>
          </cell>
          <cell r="D15" t="str">
            <v>C1</v>
          </cell>
          <cell r="E15" t="str">
            <v>6</v>
          </cell>
          <cell r="F15">
            <v>0</v>
          </cell>
          <cell r="G15">
            <v>1.7000000000000002</v>
          </cell>
          <cell r="H15">
            <v>20.8</v>
          </cell>
          <cell r="I15">
            <v>70</v>
          </cell>
          <cell r="J15">
            <v>7.3999999999999995</v>
          </cell>
          <cell r="K15">
            <v>86</v>
          </cell>
          <cell r="L15">
            <v>14.000000000000002</v>
          </cell>
          <cell r="M15">
            <v>0</v>
          </cell>
          <cell r="N15">
            <v>0</v>
          </cell>
          <cell r="O15">
            <v>5.4</v>
          </cell>
          <cell r="P15">
            <v>40.1</v>
          </cell>
          <cell r="Q15">
            <v>12.6</v>
          </cell>
          <cell r="R15">
            <v>7.8</v>
          </cell>
          <cell r="S15">
            <v>22.5</v>
          </cell>
          <cell r="T15">
            <v>31.1</v>
          </cell>
          <cell r="U15">
            <v>3.4000000000000004</v>
          </cell>
          <cell r="V15">
            <v>24.3</v>
          </cell>
          <cell r="W15">
            <v>3.2</v>
          </cell>
          <cell r="X15">
            <v>87.4</v>
          </cell>
          <cell r="Y15">
            <v>9.4</v>
          </cell>
          <cell r="Z15">
            <v>0</v>
          </cell>
          <cell r="AA15" t="str">
            <v>nd</v>
          </cell>
          <cell r="AB15" t="str">
            <v>nd</v>
          </cell>
          <cell r="AC15">
            <v>100</v>
          </cell>
          <cell r="AD15">
            <v>0</v>
          </cell>
          <cell r="AE15">
            <v>71.3</v>
          </cell>
          <cell r="AF15">
            <v>28.7</v>
          </cell>
          <cell r="AG15">
            <v>91.9</v>
          </cell>
          <cell r="AH15">
            <v>8.1</v>
          </cell>
          <cell r="AI15">
            <v>11</v>
          </cell>
          <cell r="AJ15" t="str">
            <v>nd</v>
          </cell>
          <cell r="AK15">
            <v>0</v>
          </cell>
          <cell r="AL15">
            <v>80.900000000000006</v>
          </cell>
          <cell r="AM15" t="str">
            <v>nd</v>
          </cell>
          <cell r="AN15" t="str">
            <v>nd</v>
          </cell>
          <cell r="AO15">
            <v>0</v>
          </cell>
          <cell r="AP15" t="str">
            <v>nd</v>
          </cell>
          <cell r="AQ15">
            <v>87</v>
          </cell>
          <cell r="AR15">
            <v>10.199999999999999</v>
          </cell>
          <cell r="AS15">
            <v>58.9</v>
          </cell>
          <cell r="AT15">
            <v>26.1</v>
          </cell>
          <cell r="AU15">
            <v>8.4</v>
          </cell>
          <cell r="AV15">
            <v>2.1999999999999997</v>
          </cell>
          <cell r="AW15">
            <v>1.9</v>
          </cell>
          <cell r="AX15">
            <v>2.2999999999999998</v>
          </cell>
          <cell r="AY15" t="str">
            <v>nd</v>
          </cell>
          <cell r="AZ15">
            <v>7.3999999999999995</v>
          </cell>
          <cell r="BA15">
            <v>5.6000000000000005</v>
          </cell>
          <cell r="BB15">
            <v>19.2</v>
          </cell>
          <cell r="BC15">
            <v>54.2</v>
          </cell>
          <cell r="BD15">
            <v>12.9</v>
          </cell>
          <cell r="BE15">
            <v>0</v>
          </cell>
          <cell r="BF15" t="str">
            <v>nd</v>
          </cell>
          <cell r="BG15">
            <v>0</v>
          </cell>
          <cell r="BH15" t="str">
            <v>nd</v>
          </cell>
          <cell r="BI15">
            <v>55.7</v>
          </cell>
          <cell r="BJ15">
            <v>40.200000000000003</v>
          </cell>
          <cell r="BK15">
            <v>0</v>
          </cell>
          <cell r="BL15">
            <v>0</v>
          </cell>
          <cell r="BM15" t="str">
            <v>nd</v>
          </cell>
          <cell r="BN15">
            <v>12.9</v>
          </cell>
          <cell r="BO15">
            <v>83</v>
          </cell>
          <cell r="BP15">
            <v>2.1999999999999997</v>
          </cell>
          <cell r="BQ15">
            <v>0</v>
          </cell>
          <cell r="BR15">
            <v>0</v>
          </cell>
          <cell r="BS15">
            <v>0</v>
          </cell>
          <cell r="BT15">
            <v>13.3</v>
          </cell>
          <cell r="BU15">
            <v>78.100000000000009</v>
          </cell>
          <cell r="BV15">
            <v>8.6</v>
          </cell>
          <cell r="BW15">
            <v>0</v>
          </cell>
          <cell r="BX15">
            <v>0</v>
          </cell>
          <cell r="BY15">
            <v>0</v>
          </cell>
          <cell r="BZ15">
            <v>0</v>
          </cell>
          <cell r="CA15">
            <v>0</v>
          </cell>
          <cell r="CB15">
            <v>100</v>
          </cell>
          <cell r="CC15">
            <v>61.5</v>
          </cell>
          <cell r="CD15">
            <v>4.7</v>
          </cell>
          <cell r="CE15" t="str">
            <v>nd</v>
          </cell>
          <cell r="CF15">
            <v>2</v>
          </cell>
          <cell r="CG15" t="str">
            <v>nd</v>
          </cell>
          <cell r="CH15">
            <v>4</v>
          </cell>
          <cell r="CI15">
            <v>5.8999999999999995</v>
          </cell>
          <cell r="CJ15">
            <v>36.700000000000003</v>
          </cell>
          <cell r="CK15">
            <v>28.7</v>
          </cell>
          <cell r="CL15">
            <v>4.3</v>
          </cell>
          <cell r="CM15">
            <v>2.1</v>
          </cell>
          <cell r="CN15" t="str">
            <v>nd</v>
          </cell>
          <cell r="CO15">
            <v>72</v>
          </cell>
          <cell r="CP15">
            <v>16</v>
          </cell>
          <cell r="CQ15">
            <v>50.2</v>
          </cell>
          <cell r="CR15">
            <v>5</v>
          </cell>
          <cell r="CS15">
            <v>28.799999999999997</v>
          </cell>
          <cell r="CT15">
            <v>27</v>
          </cell>
          <cell r="CU15">
            <v>73</v>
          </cell>
          <cell r="CV15">
            <v>5.2</v>
          </cell>
          <cell r="CW15">
            <v>94.8</v>
          </cell>
          <cell r="CX15">
            <v>15.8</v>
          </cell>
          <cell r="CY15">
            <v>55.000000000000007</v>
          </cell>
          <cell r="CZ15">
            <v>29.2</v>
          </cell>
          <cell r="DA15">
            <v>14.799999999999999</v>
          </cell>
          <cell r="DB15">
            <v>0</v>
          </cell>
          <cell r="DC15">
            <v>35.199999999999996</v>
          </cell>
          <cell r="DD15" t="str">
            <v>nd</v>
          </cell>
          <cell r="DE15">
            <v>50</v>
          </cell>
          <cell r="DF15">
            <v>37.4</v>
          </cell>
          <cell r="DG15">
            <v>7.0000000000000009</v>
          </cell>
          <cell r="DH15">
            <v>21.4</v>
          </cell>
          <cell r="DI15">
            <v>12.9</v>
          </cell>
          <cell r="DJ15">
            <v>7.5</v>
          </cell>
          <cell r="DK15">
            <v>13.700000000000001</v>
          </cell>
          <cell r="DL15">
            <v>21.7</v>
          </cell>
          <cell r="DM15">
            <v>27.500000000000004</v>
          </cell>
          <cell r="DN15">
            <v>11.1</v>
          </cell>
          <cell r="DO15">
            <v>31.8</v>
          </cell>
          <cell r="DP15">
            <v>7.8</v>
          </cell>
          <cell r="DQ15" t="str">
            <v>nd</v>
          </cell>
          <cell r="DR15">
            <v>8.9</v>
          </cell>
          <cell r="DS15">
            <v>20.100000000000001</v>
          </cell>
          <cell r="DT15">
            <v>14.7</v>
          </cell>
          <cell r="DU15">
            <v>0</v>
          </cell>
          <cell r="DV15">
            <v>0</v>
          </cell>
          <cell r="DW15">
            <v>0</v>
          </cell>
          <cell r="DX15">
            <v>0</v>
          </cell>
          <cell r="DY15">
            <v>0</v>
          </cell>
          <cell r="DZ15">
            <v>0.95344000000000007</v>
          </cell>
          <cell r="EA15">
            <v>0</v>
          </cell>
          <cell r="EB15">
            <v>0</v>
          </cell>
          <cell r="EC15">
            <v>0</v>
          </cell>
          <cell r="ED15" t="str">
            <v>nd</v>
          </cell>
          <cell r="EE15">
            <v>0</v>
          </cell>
          <cell r="EF15">
            <v>9.9867764000000001</v>
          </cell>
          <cell r="EG15">
            <v>4.1807600000000003</v>
          </cell>
          <cell r="EH15">
            <v>4.6281099999999995</v>
          </cell>
          <cell r="EI15">
            <v>1.9632400000000001</v>
          </cell>
          <cell r="EJ15" t="str">
            <v>nd</v>
          </cell>
          <cell r="EK15">
            <v>0</v>
          </cell>
          <cell r="EL15">
            <v>43.261944200000002</v>
          </cell>
          <cell r="EM15">
            <v>21.028221899999998</v>
          </cell>
          <cell r="EN15">
            <v>3.55484</v>
          </cell>
          <cell r="EO15" t="str">
            <v>nd</v>
          </cell>
          <cell r="EP15" t="str">
            <v>nd</v>
          </cell>
          <cell r="EQ15" t="str">
            <v>nd</v>
          </cell>
          <cell r="ER15">
            <v>4.7462200000000001</v>
          </cell>
          <cell r="ES15" t="str">
            <v>nd</v>
          </cell>
          <cell r="ET15" t="str">
            <v>nd</v>
          </cell>
          <cell r="EU15">
            <v>0</v>
          </cell>
          <cell r="EV15" t="str">
            <v>nd</v>
          </cell>
          <cell r="EW15" t="str">
            <v>nd</v>
          </cell>
          <cell r="EX15">
            <v>0</v>
          </cell>
          <cell r="EY15">
            <v>0</v>
          </cell>
          <cell r="EZ15">
            <v>0</v>
          </cell>
          <cell r="FA15">
            <v>0</v>
          </cell>
          <cell r="FB15">
            <v>0</v>
          </cell>
          <cell r="FC15">
            <v>0</v>
          </cell>
          <cell r="FD15">
            <v>0</v>
          </cell>
          <cell r="FE15">
            <v>0</v>
          </cell>
          <cell r="FF15">
            <v>0</v>
          </cell>
          <cell r="FG15" t="str">
            <v>nd</v>
          </cell>
          <cell r="FH15" t="str">
            <v>nd</v>
          </cell>
          <cell r="FI15" t="str">
            <v>nd</v>
          </cell>
          <cell r="FJ15">
            <v>4.7365599999999999</v>
          </cell>
          <cell r="FK15" t="str">
            <v>nd</v>
          </cell>
          <cell r="FL15">
            <v>2.5163700000000002</v>
          </cell>
          <cell r="FM15">
            <v>9.2124593000000008</v>
          </cell>
          <cell r="FN15">
            <v>2.9909300000000001</v>
          </cell>
          <cell r="FO15" t="str">
            <v>nd</v>
          </cell>
          <cell r="FP15" t="str">
            <v>nd</v>
          </cell>
          <cell r="FQ15">
            <v>3.40612</v>
          </cell>
          <cell r="FR15">
            <v>16.3936858</v>
          </cell>
          <cell r="FS15">
            <v>38.903038699999996</v>
          </cell>
          <cell r="FT15">
            <v>8.6198531000000003</v>
          </cell>
          <cell r="FU15">
            <v>0</v>
          </cell>
          <cell r="FV15" t="str">
            <v>nd</v>
          </cell>
          <cell r="FW15" t="str">
            <v>nd</v>
          </cell>
          <cell r="FX15" t="str">
            <v>nd</v>
          </cell>
          <cell r="FY15">
            <v>4.7688199999999998</v>
          </cell>
          <cell r="FZ15" t="str">
            <v>nd</v>
          </cell>
          <cell r="GA15">
            <v>0</v>
          </cell>
          <cell r="GB15">
            <v>0</v>
          </cell>
          <cell r="GC15">
            <v>0</v>
          </cell>
          <cell r="GD15">
            <v>0</v>
          </cell>
          <cell r="GE15">
            <v>0</v>
          </cell>
          <cell r="GF15">
            <v>0</v>
          </cell>
          <cell r="GG15" t="str">
            <v>nd</v>
          </cell>
          <cell r="GH15">
            <v>0</v>
          </cell>
          <cell r="GI15">
            <v>0</v>
          </cell>
          <cell r="GJ15" t="str">
            <v>nd</v>
          </cell>
          <cell r="GK15" t="str">
            <v>nd</v>
          </cell>
          <cell r="GL15">
            <v>0</v>
          </cell>
          <cell r="GM15">
            <v>0</v>
          </cell>
          <cell r="GN15">
            <v>0</v>
          </cell>
          <cell r="GO15">
            <v>0</v>
          </cell>
          <cell r="GP15">
            <v>10.598586899999999</v>
          </cell>
          <cell r="GQ15">
            <v>10.1585391</v>
          </cell>
          <cell r="GR15">
            <v>0</v>
          </cell>
          <cell r="GS15">
            <v>0</v>
          </cell>
          <cell r="GT15">
            <v>0</v>
          </cell>
          <cell r="GU15" t="str">
            <v>nd</v>
          </cell>
          <cell r="GV15">
            <v>43.341201900000002</v>
          </cell>
          <cell r="GW15">
            <v>23.259512399999998</v>
          </cell>
          <cell r="GX15">
            <v>0</v>
          </cell>
          <cell r="GY15">
            <v>0</v>
          </cell>
          <cell r="GZ15">
            <v>0</v>
          </cell>
          <cell r="HA15">
            <v>0</v>
          </cell>
          <cell r="HB15">
            <v>1.3021400000000001</v>
          </cell>
          <cell r="HC15">
            <v>6.2259500000000001</v>
          </cell>
          <cell r="HD15">
            <v>0</v>
          </cell>
          <cell r="HE15">
            <v>0</v>
          </cell>
          <cell r="HF15">
            <v>0</v>
          </cell>
          <cell r="HG15">
            <v>0</v>
          </cell>
          <cell r="HH15">
            <v>0</v>
          </cell>
          <cell r="HI15">
            <v>0</v>
          </cell>
          <cell r="HJ15">
            <v>0</v>
          </cell>
          <cell r="HK15">
            <v>0</v>
          </cell>
          <cell r="HL15" t="str">
            <v>nd</v>
          </cell>
          <cell r="HM15">
            <v>1.6182100000000001</v>
          </cell>
          <cell r="HN15">
            <v>0</v>
          </cell>
          <cell r="HO15">
            <v>0</v>
          </cell>
          <cell r="HP15">
            <v>0</v>
          </cell>
          <cell r="HQ15">
            <v>0</v>
          </cell>
          <cell r="HR15" t="str">
            <v>nd</v>
          </cell>
          <cell r="HS15">
            <v>19.494433799999999</v>
          </cell>
          <cell r="HT15" t="str">
            <v>nd</v>
          </cell>
          <cell r="HU15">
            <v>0</v>
          </cell>
          <cell r="HV15">
            <v>0</v>
          </cell>
          <cell r="HW15" t="str">
            <v>nd</v>
          </cell>
          <cell r="HX15">
            <v>10.727516700000001</v>
          </cell>
          <cell r="HY15">
            <v>54.936771100000001</v>
          </cell>
          <cell r="HZ15">
            <v>2.03762</v>
          </cell>
          <cell r="IA15">
            <v>0</v>
          </cell>
          <cell r="IB15">
            <v>0</v>
          </cell>
          <cell r="IC15">
            <v>0</v>
          </cell>
          <cell r="ID15" t="str">
            <v>nd</v>
          </cell>
          <cell r="IE15">
            <v>6.9837403000000009</v>
          </cell>
          <cell r="IF15">
            <v>0</v>
          </cell>
          <cell r="IG15">
            <v>0</v>
          </cell>
          <cell r="IH15">
            <v>0</v>
          </cell>
          <cell r="II15">
            <v>0</v>
          </cell>
          <cell r="IJ15">
            <v>0</v>
          </cell>
          <cell r="IK15">
            <v>0</v>
          </cell>
          <cell r="IL15">
            <v>0</v>
          </cell>
          <cell r="IM15">
            <v>0</v>
          </cell>
          <cell r="IN15">
            <v>0</v>
          </cell>
          <cell r="IO15" t="str">
            <v>nd</v>
          </cell>
          <cell r="IP15" t="str">
            <v>nd</v>
          </cell>
          <cell r="IQ15" t="str">
            <v>nd</v>
          </cell>
          <cell r="IR15">
            <v>0</v>
          </cell>
          <cell r="IS15">
            <v>0</v>
          </cell>
          <cell r="IT15">
            <v>0</v>
          </cell>
          <cell r="IU15">
            <v>3.6882999999999999</v>
          </cell>
          <cell r="IV15">
            <v>17.340107799999998</v>
          </cell>
          <cell r="IW15">
            <v>0</v>
          </cell>
          <cell r="IX15">
            <v>0</v>
          </cell>
          <cell r="IY15">
            <v>0</v>
          </cell>
          <cell r="IZ15">
            <v>0</v>
          </cell>
          <cell r="JA15">
            <v>8.2941804999999995</v>
          </cell>
          <cell r="JB15">
            <v>54.134411900000003</v>
          </cell>
          <cell r="JC15">
            <v>6.9697586000000005</v>
          </cell>
          <cell r="JD15">
            <v>0</v>
          </cell>
          <cell r="JE15">
            <v>0</v>
          </cell>
          <cell r="JF15">
            <v>0</v>
          </cell>
          <cell r="JG15" t="str">
            <v>nd</v>
          </cell>
          <cell r="JH15">
            <v>5.9378200000000003</v>
          </cell>
          <cell r="JI15">
            <v>0.81863000000000008</v>
          </cell>
          <cell r="JJ15">
            <v>0</v>
          </cell>
          <cell r="JK15">
            <v>0</v>
          </cell>
          <cell r="JL15">
            <v>0</v>
          </cell>
          <cell r="JM15">
            <v>0</v>
          </cell>
          <cell r="JN15">
            <v>0</v>
          </cell>
          <cell r="JO15">
            <v>0</v>
          </cell>
          <cell r="JP15">
            <v>0</v>
          </cell>
          <cell r="JQ15">
            <v>0</v>
          </cell>
          <cell r="JR15">
            <v>0</v>
          </cell>
          <cell r="JS15">
            <v>0</v>
          </cell>
          <cell r="JT15">
            <v>1.6959299999999999</v>
          </cell>
          <cell r="JU15">
            <v>0</v>
          </cell>
          <cell r="JV15">
            <v>0</v>
          </cell>
          <cell r="JW15">
            <v>0</v>
          </cell>
          <cell r="JX15">
            <v>0</v>
          </cell>
          <cell r="JY15">
            <v>0</v>
          </cell>
          <cell r="JZ15">
            <v>21.014519100000001</v>
          </cell>
          <cell r="KA15">
            <v>0</v>
          </cell>
          <cell r="KB15">
            <v>0</v>
          </cell>
          <cell r="KC15">
            <v>0</v>
          </cell>
          <cell r="KD15">
            <v>0</v>
          </cell>
          <cell r="KE15">
            <v>0</v>
          </cell>
          <cell r="KF15">
            <v>69.786063899999988</v>
          </cell>
          <cell r="KG15">
            <v>0</v>
          </cell>
          <cell r="KH15">
            <v>0</v>
          </cell>
          <cell r="KI15">
            <v>0</v>
          </cell>
          <cell r="KJ15">
            <v>0</v>
          </cell>
          <cell r="KK15">
            <v>0</v>
          </cell>
          <cell r="KL15">
            <v>7.5034853999999997</v>
          </cell>
          <cell r="KM15">
            <v>69.399999999999991</v>
          </cell>
          <cell r="KN15">
            <v>13.200000000000001</v>
          </cell>
          <cell r="KO15">
            <v>3.9</v>
          </cell>
          <cell r="KP15">
            <v>7.0000000000000009</v>
          </cell>
          <cell r="KQ15">
            <v>6.4</v>
          </cell>
          <cell r="KR15">
            <v>0</v>
          </cell>
          <cell r="KS15">
            <v>67.2</v>
          </cell>
          <cell r="KT15">
            <v>14.099999999999998</v>
          </cell>
          <cell r="KU15">
            <v>4</v>
          </cell>
          <cell r="KV15">
            <v>7.5</v>
          </cell>
          <cell r="KW15">
            <v>7.1999999999999993</v>
          </cell>
          <cell r="KX15">
            <v>0</v>
          </cell>
          <cell r="KY15"/>
          <cell r="KZ15"/>
          <cell r="LA15"/>
          <cell r="LB15"/>
          <cell r="LC15"/>
          <cell r="LD15"/>
          <cell r="LE15"/>
          <cell r="LF15"/>
          <cell r="LG15"/>
          <cell r="LH15"/>
          <cell r="LI15"/>
          <cell r="LJ15"/>
          <cell r="LK15"/>
          <cell r="LL15"/>
          <cell r="LM15"/>
          <cell r="LN15"/>
          <cell r="LO15"/>
        </row>
        <row r="16">
          <cell r="A16" t="str">
            <v>EnsC2</v>
          </cell>
          <cell r="B16" t="str">
            <v>16</v>
          </cell>
          <cell r="C16" t="str">
            <v>NAF 17</v>
          </cell>
          <cell r="D16" t="str">
            <v>C2</v>
          </cell>
          <cell r="E16" t="str">
            <v/>
          </cell>
          <cell r="F16">
            <v>0</v>
          </cell>
          <cell r="G16" t="str">
            <v>nd</v>
          </cell>
          <cell r="H16" t="str">
            <v>nd</v>
          </cell>
          <cell r="I16" t="str">
            <v>nd</v>
          </cell>
          <cell r="J16">
            <v>4</v>
          </cell>
          <cell r="K16">
            <v>100</v>
          </cell>
          <cell r="L16">
            <v>0</v>
          </cell>
          <cell r="M16">
            <v>0</v>
          </cell>
          <cell r="N16">
            <v>0</v>
          </cell>
          <cell r="O16" t="str">
            <v>nd</v>
          </cell>
          <cell r="P16">
            <v>4.3</v>
          </cell>
          <cell r="Q16" t="str">
            <v>nd</v>
          </cell>
          <cell r="R16">
            <v>0</v>
          </cell>
          <cell r="S16">
            <v>0</v>
          </cell>
          <cell r="T16" t="str">
            <v>nd</v>
          </cell>
          <cell r="U16">
            <v>0</v>
          </cell>
          <cell r="V16" t="str">
            <v>nd</v>
          </cell>
          <cell r="W16">
            <v>0</v>
          </cell>
          <cell r="X16">
            <v>100</v>
          </cell>
          <cell r="Y16">
            <v>0</v>
          </cell>
          <cell r="Z16">
            <v>0</v>
          </cell>
          <cell r="AA16">
            <v>0</v>
          </cell>
          <cell r="AB16">
            <v>0</v>
          </cell>
          <cell r="AC16">
            <v>0</v>
          </cell>
          <cell r="AD16">
            <v>0</v>
          </cell>
          <cell r="AE16">
            <v>13.700000000000001</v>
          </cell>
          <cell r="AF16">
            <v>86.3</v>
          </cell>
          <cell r="AG16">
            <v>100</v>
          </cell>
          <cell r="AH16">
            <v>0</v>
          </cell>
          <cell r="AI16" t="str">
            <v>nd</v>
          </cell>
          <cell r="AJ16">
            <v>0</v>
          </cell>
          <cell r="AK16">
            <v>0</v>
          </cell>
          <cell r="AL16" t="str">
            <v>nd</v>
          </cell>
          <cell r="AM16">
            <v>0</v>
          </cell>
          <cell r="AN16">
            <v>0</v>
          </cell>
          <cell r="AO16">
            <v>0</v>
          </cell>
          <cell r="AP16">
            <v>0</v>
          </cell>
          <cell r="AQ16">
            <v>100</v>
          </cell>
          <cell r="AR16">
            <v>0</v>
          </cell>
          <cell r="AS16" t="str">
            <v>nd</v>
          </cell>
          <cell r="AT16">
            <v>98.6</v>
          </cell>
          <cell r="AU16">
            <v>0</v>
          </cell>
          <cell r="AV16">
            <v>0</v>
          </cell>
          <cell r="AW16">
            <v>0</v>
          </cell>
          <cell r="AX16">
            <v>0</v>
          </cell>
          <cell r="AY16">
            <v>0</v>
          </cell>
          <cell r="AZ16">
            <v>0</v>
          </cell>
          <cell r="BA16">
            <v>0</v>
          </cell>
          <cell r="BB16">
            <v>96</v>
          </cell>
          <cell r="BC16" t="str">
            <v>nd</v>
          </cell>
          <cell r="BD16" t="str">
            <v>nd</v>
          </cell>
          <cell r="BE16">
            <v>0</v>
          </cell>
          <cell r="BF16">
            <v>0</v>
          </cell>
          <cell r="BG16">
            <v>0</v>
          </cell>
          <cell r="BH16">
            <v>0</v>
          </cell>
          <cell r="BI16" t="str">
            <v>nd</v>
          </cell>
          <cell r="BJ16">
            <v>97.399999999999991</v>
          </cell>
          <cell r="BK16">
            <v>0</v>
          </cell>
          <cell r="BL16">
            <v>0</v>
          </cell>
          <cell r="BM16">
            <v>0</v>
          </cell>
          <cell r="BN16" t="str">
            <v>nd</v>
          </cell>
          <cell r="BO16">
            <v>74.900000000000006</v>
          </cell>
          <cell r="BP16" t="str">
            <v>nd</v>
          </cell>
          <cell r="BQ16">
            <v>0</v>
          </cell>
          <cell r="BR16">
            <v>0</v>
          </cell>
          <cell r="BS16">
            <v>0</v>
          </cell>
          <cell r="BT16">
            <v>0</v>
          </cell>
          <cell r="BU16">
            <v>85.5</v>
          </cell>
          <cell r="BV16" t="str">
            <v>nd</v>
          </cell>
          <cell r="BW16">
            <v>0</v>
          </cell>
          <cell r="BX16">
            <v>0</v>
          </cell>
          <cell r="BY16">
            <v>0</v>
          </cell>
          <cell r="BZ16">
            <v>0</v>
          </cell>
          <cell r="CA16">
            <v>0</v>
          </cell>
          <cell r="CB16">
            <v>100</v>
          </cell>
          <cell r="CC16">
            <v>0</v>
          </cell>
          <cell r="CD16" t="str">
            <v>nd</v>
          </cell>
          <cell r="CE16">
            <v>0</v>
          </cell>
          <cell r="CF16">
            <v>0</v>
          </cell>
          <cell r="CG16">
            <v>0</v>
          </cell>
          <cell r="CH16" t="str">
            <v>nd</v>
          </cell>
          <cell r="CI16" t="str">
            <v>nd</v>
          </cell>
          <cell r="CJ16">
            <v>16.8</v>
          </cell>
          <cell r="CK16">
            <v>72.2</v>
          </cell>
          <cell r="CL16" t="str">
            <v>nd</v>
          </cell>
          <cell r="CM16" t="str">
            <v>nd</v>
          </cell>
          <cell r="CN16" t="str">
            <v>nd</v>
          </cell>
          <cell r="CO16">
            <v>17.599999999999998</v>
          </cell>
          <cell r="CP16">
            <v>14.799999999999999</v>
          </cell>
          <cell r="CQ16">
            <v>82.399999999999991</v>
          </cell>
          <cell r="CR16">
            <v>0</v>
          </cell>
          <cell r="CS16" t="str">
            <v>nd</v>
          </cell>
          <cell r="CT16">
            <v>0</v>
          </cell>
          <cell r="CU16">
            <v>100</v>
          </cell>
          <cell r="CV16" t="str">
            <v>nd</v>
          </cell>
          <cell r="CW16">
            <v>97.899999999999991</v>
          </cell>
          <cell r="CX16" t="str">
            <v>nd</v>
          </cell>
          <cell r="CY16">
            <v>72.8</v>
          </cell>
          <cell r="CZ16">
            <v>26.200000000000003</v>
          </cell>
          <cell r="DA16">
            <v>0</v>
          </cell>
          <cell r="DB16">
            <v>0</v>
          </cell>
          <cell r="DC16" t="str">
            <v>nd</v>
          </cell>
          <cell r="DD16">
            <v>0</v>
          </cell>
          <cell r="DE16">
            <v>0</v>
          </cell>
          <cell r="DF16">
            <v>4.5999999999999996</v>
          </cell>
          <cell r="DG16">
            <v>0</v>
          </cell>
          <cell r="DH16" t="str">
            <v>nd</v>
          </cell>
          <cell r="DI16" t="str">
            <v>nd</v>
          </cell>
          <cell r="DJ16" t="str">
            <v>nd</v>
          </cell>
          <cell r="DK16" t="str">
            <v>nd</v>
          </cell>
          <cell r="DL16" t="str">
            <v>nd</v>
          </cell>
          <cell r="DM16" t="str">
            <v>nd</v>
          </cell>
          <cell r="DN16" t="str">
            <v>nd</v>
          </cell>
          <cell r="DO16" t="str">
            <v>nd</v>
          </cell>
          <cell r="DP16" t="str">
            <v>nd</v>
          </cell>
          <cell r="DQ16" t="str">
            <v>nd</v>
          </cell>
          <cell r="DR16" t="str">
            <v>nd</v>
          </cell>
          <cell r="DS16" t="str">
            <v>nd</v>
          </cell>
          <cell r="DT16">
            <v>0</v>
          </cell>
          <cell r="DU16">
            <v>0</v>
          </cell>
          <cell r="DV16">
            <v>0</v>
          </cell>
          <cell r="DW16">
            <v>0</v>
          </cell>
          <cell r="DX16">
            <v>0</v>
          </cell>
          <cell r="DY16">
            <v>0</v>
          </cell>
          <cell r="DZ16">
            <v>0</v>
          </cell>
          <cell r="EA16" t="str">
            <v>nd</v>
          </cell>
          <cell r="EB16">
            <v>0</v>
          </cell>
          <cell r="EC16">
            <v>0</v>
          </cell>
          <cell r="ED16">
            <v>0</v>
          </cell>
          <cell r="EE16">
            <v>0</v>
          </cell>
          <cell r="EF16">
            <v>0</v>
          </cell>
          <cell r="EG16" t="str">
            <v>nd</v>
          </cell>
          <cell r="EH16">
            <v>0</v>
          </cell>
          <cell r="EI16">
            <v>0</v>
          </cell>
          <cell r="EJ16">
            <v>0</v>
          </cell>
          <cell r="EK16">
            <v>0</v>
          </cell>
          <cell r="EL16">
            <v>0</v>
          </cell>
          <cell r="EM16" t="str">
            <v>nd</v>
          </cell>
          <cell r="EN16">
            <v>0</v>
          </cell>
          <cell r="EO16">
            <v>0</v>
          </cell>
          <cell r="EP16">
            <v>0</v>
          </cell>
          <cell r="EQ16">
            <v>0</v>
          </cell>
          <cell r="ER16" t="str">
            <v>nd</v>
          </cell>
          <cell r="ES16" t="str">
            <v>nd</v>
          </cell>
          <cell r="ET16">
            <v>0</v>
          </cell>
          <cell r="EU16">
            <v>0</v>
          </cell>
          <cell r="EV16">
            <v>0</v>
          </cell>
          <cell r="EW16">
            <v>0</v>
          </cell>
          <cell r="EX16">
            <v>0</v>
          </cell>
          <cell r="EY16">
            <v>0</v>
          </cell>
          <cell r="EZ16">
            <v>0</v>
          </cell>
          <cell r="FA16">
            <v>0</v>
          </cell>
          <cell r="FB16">
            <v>0</v>
          </cell>
          <cell r="FC16">
            <v>0</v>
          </cell>
          <cell r="FD16">
            <v>0</v>
          </cell>
          <cell r="FE16">
            <v>0</v>
          </cell>
          <cell r="FF16" t="str">
            <v>nd</v>
          </cell>
          <cell r="FG16">
            <v>0</v>
          </cell>
          <cell r="FH16">
            <v>0</v>
          </cell>
          <cell r="FI16">
            <v>0</v>
          </cell>
          <cell r="FJ16">
            <v>0</v>
          </cell>
          <cell r="FK16">
            <v>0</v>
          </cell>
          <cell r="FL16" t="str">
            <v>nd</v>
          </cell>
          <cell r="FM16">
            <v>0</v>
          </cell>
          <cell r="FN16">
            <v>0</v>
          </cell>
          <cell r="FO16">
            <v>0</v>
          </cell>
          <cell r="FP16">
            <v>0</v>
          </cell>
          <cell r="FQ16">
            <v>0</v>
          </cell>
          <cell r="FR16" t="str">
            <v>nd</v>
          </cell>
          <cell r="FS16">
            <v>0</v>
          </cell>
          <cell r="FT16">
            <v>0</v>
          </cell>
          <cell r="FU16">
            <v>0</v>
          </cell>
          <cell r="FV16">
            <v>0</v>
          </cell>
          <cell r="FW16">
            <v>0</v>
          </cell>
          <cell r="FX16">
            <v>0</v>
          </cell>
          <cell r="FY16" t="str">
            <v>nd</v>
          </cell>
          <cell r="FZ16" t="str">
            <v>nd</v>
          </cell>
          <cell r="GA16">
            <v>0</v>
          </cell>
          <cell r="GB16">
            <v>0</v>
          </cell>
          <cell r="GC16">
            <v>0</v>
          </cell>
          <cell r="GD16">
            <v>0</v>
          </cell>
          <cell r="GE16">
            <v>0</v>
          </cell>
          <cell r="GF16">
            <v>0</v>
          </cell>
          <cell r="GG16">
            <v>0</v>
          </cell>
          <cell r="GH16">
            <v>0</v>
          </cell>
          <cell r="GI16">
            <v>0</v>
          </cell>
          <cell r="GJ16">
            <v>0</v>
          </cell>
          <cell r="GK16" t="str">
            <v>nd</v>
          </cell>
          <cell r="GL16">
            <v>0</v>
          </cell>
          <cell r="GM16">
            <v>0</v>
          </cell>
          <cell r="GN16">
            <v>0</v>
          </cell>
          <cell r="GO16">
            <v>0</v>
          </cell>
          <cell r="GP16">
            <v>0</v>
          </cell>
          <cell r="GQ16" t="str">
            <v>nd</v>
          </cell>
          <cell r="GR16">
            <v>0</v>
          </cell>
          <cell r="GS16">
            <v>0</v>
          </cell>
          <cell r="GT16">
            <v>0</v>
          </cell>
          <cell r="GU16">
            <v>0</v>
          </cell>
          <cell r="GV16">
            <v>0</v>
          </cell>
          <cell r="GW16" t="str">
            <v>nd</v>
          </cell>
          <cell r="GX16">
            <v>0</v>
          </cell>
          <cell r="GY16">
            <v>0</v>
          </cell>
          <cell r="GZ16">
            <v>0</v>
          </cell>
          <cell r="HA16">
            <v>0</v>
          </cell>
          <cell r="HB16" t="str">
            <v>nd</v>
          </cell>
          <cell r="HC16" t="str">
            <v>nd</v>
          </cell>
          <cell r="HD16">
            <v>0</v>
          </cell>
          <cell r="HE16">
            <v>0</v>
          </cell>
          <cell r="HF16">
            <v>0</v>
          </cell>
          <cell r="HG16">
            <v>0</v>
          </cell>
          <cell r="HH16">
            <v>0</v>
          </cell>
          <cell r="HI16">
            <v>0</v>
          </cell>
          <cell r="HJ16">
            <v>0</v>
          </cell>
          <cell r="HK16">
            <v>0</v>
          </cell>
          <cell r="HL16" t="str">
            <v>nd</v>
          </cell>
          <cell r="HM16">
            <v>0</v>
          </cell>
          <cell r="HN16" t="str">
            <v>nd</v>
          </cell>
          <cell r="HO16">
            <v>0</v>
          </cell>
          <cell r="HP16">
            <v>0</v>
          </cell>
          <cell r="HQ16">
            <v>0</v>
          </cell>
          <cell r="HR16">
            <v>0</v>
          </cell>
          <cell r="HS16" t="str">
            <v>nd</v>
          </cell>
          <cell r="HT16">
            <v>0</v>
          </cell>
          <cell r="HU16">
            <v>0</v>
          </cell>
          <cell r="HV16">
            <v>0</v>
          </cell>
          <cell r="HW16">
            <v>0</v>
          </cell>
          <cell r="HX16" t="str">
            <v>nd</v>
          </cell>
          <cell r="HY16" t="str">
            <v>nd</v>
          </cell>
          <cell r="HZ16">
            <v>0</v>
          </cell>
          <cell r="IA16">
            <v>0</v>
          </cell>
          <cell r="IB16">
            <v>0</v>
          </cell>
          <cell r="IC16">
            <v>0</v>
          </cell>
          <cell r="ID16">
            <v>0</v>
          </cell>
          <cell r="IE16">
            <v>4.0492800000000004</v>
          </cell>
          <cell r="IF16">
            <v>0</v>
          </cell>
          <cell r="IG16">
            <v>0</v>
          </cell>
          <cell r="IH16">
            <v>0</v>
          </cell>
          <cell r="II16">
            <v>0</v>
          </cell>
          <cell r="IJ16">
            <v>0</v>
          </cell>
          <cell r="IK16">
            <v>0</v>
          </cell>
          <cell r="IL16">
            <v>0</v>
          </cell>
          <cell r="IM16">
            <v>0</v>
          </cell>
          <cell r="IN16">
            <v>0</v>
          </cell>
          <cell r="IO16">
            <v>0</v>
          </cell>
          <cell r="IP16" t="str">
            <v>nd</v>
          </cell>
          <cell r="IQ16" t="str">
            <v>nd</v>
          </cell>
          <cell r="IR16">
            <v>0</v>
          </cell>
          <cell r="IS16">
            <v>0</v>
          </cell>
          <cell r="IT16">
            <v>0</v>
          </cell>
          <cell r="IU16">
            <v>0</v>
          </cell>
          <cell r="IV16" t="str">
            <v>nd</v>
          </cell>
          <cell r="IW16">
            <v>0</v>
          </cell>
          <cell r="IX16">
            <v>0</v>
          </cell>
          <cell r="IY16">
            <v>0</v>
          </cell>
          <cell r="IZ16">
            <v>0</v>
          </cell>
          <cell r="JA16">
            <v>0</v>
          </cell>
          <cell r="JB16">
            <v>0</v>
          </cell>
          <cell r="JC16" t="str">
            <v>nd</v>
          </cell>
          <cell r="JD16">
            <v>0</v>
          </cell>
          <cell r="JE16">
            <v>0</v>
          </cell>
          <cell r="JF16">
            <v>0</v>
          </cell>
          <cell r="JG16">
            <v>0</v>
          </cell>
          <cell r="JH16">
            <v>4.0492800000000004</v>
          </cell>
          <cell r="JI16">
            <v>0</v>
          </cell>
          <cell r="JJ16">
            <v>0</v>
          </cell>
          <cell r="JK16">
            <v>0</v>
          </cell>
          <cell r="JL16">
            <v>0</v>
          </cell>
          <cell r="JM16">
            <v>0</v>
          </cell>
          <cell r="JN16">
            <v>0</v>
          </cell>
          <cell r="JO16">
            <v>0</v>
          </cell>
          <cell r="JP16">
            <v>0</v>
          </cell>
          <cell r="JQ16">
            <v>0</v>
          </cell>
          <cell r="JR16">
            <v>0</v>
          </cell>
          <cell r="JS16">
            <v>0</v>
          </cell>
          <cell r="JT16" t="str">
            <v>nd</v>
          </cell>
          <cell r="JU16">
            <v>0</v>
          </cell>
          <cell r="JV16">
            <v>0</v>
          </cell>
          <cell r="JW16">
            <v>0</v>
          </cell>
          <cell r="JX16">
            <v>0</v>
          </cell>
          <cell r="JY16">
            <v>0</v>
          </cell>
          <cell r="JZ16" t="str">
            <v>nd</v>
          </cell>
          <cell r="KA16">
            <v>0</v>
          </cell>
          <cell r="KB16">
            <v>0</v>
          </cell>
          <cell r="KC16">
            <v>0</v>
          </cell>
          <cell r="KD16">
            <v>0</v>
          </cell>
          <cell r="KE16">
            <v>0</v>
          </cell>
          <cell r="KF16" t="str">
            <v>nd</v>
          </cell>
          <cell r="KG16">
            <v>0</v>
          </cell>
          <cell r="KH16">
            <v>0</v>
          </cell>
          <cell r="KI16">
            <v>0</v>
          </cell>
          <cell r="KJ16">
            <v>0</v>
          </cell>
          <cell r="KK16">
            <v>0</v>
          </cell>
          <cell r="KL16">
            <v>4.0492800000000004</v>
          </cell>
          <cell r="KM16">
            <v>69</v>
          </cell>
          <cell r="KN16">
            <v>20</v>
          </cell>
          <cell r="KO16">
            <v>0.2</v>
          </cell>
          <cell r="KP16">
            <v>6.3</v>
          </cell>
          <cell r="KQ16">
            <v>4.5</v>
          </cell>
          <cell r="KR16">
            <v>0</v>
          </cell>
          <cell r="KS16">
            <v>62.1</v>
          </cell>
          <cell r="KT16">
            <v>27.1</v>
          </cell>
          <cell r="KU16">
            <v>0.2</v>
          </cell>
          <cell r="KV16">
            <v>6.6000000000000005</v>
          </cell>
          <cell r="KW16">
            <v>4</v>
          </cell>
          <cell r="KX16">
            <v>0</v>
          </cell>
          <cell r="KY16"/>
          <cell r="KZ16"/>
          <cell r="LA16"/>
          <cell r="LB16"/>
          <cell r="LC16"/>
          <cell r="LD16"/>
          <cell r="LE16"/>
          <cell r="LF16"/>
          <cell r="LG16"/>
          <cell r="LH16"/>
          <cell r="LI16"/>
          <cell r="LJ16"/>
          <cell r="LK16"/>
          <cell r="LL16"/>
          <cell r="LM16"/>
          <cell r="LN16"/>
          <cell r="LO16"/>
        </row>
        <row r="17">
          <cell r="A17" t="str">
            <v>2C2</v>
          </cell>
          <cell r="B17" t="str">
            <v>17</v>
          </cell>
          <cell r="C17" t="str">
            <v>NAF 17</v>
          </cell>
          <cell r="D17" t="str">
            <v>C2</v>
          </cell>
          <cell r="E17" t="str">
            <v>2</v>
          </cell>
          <cell r="F17">
            <v>0</v>
          </cell>
          <cell r="G17">
            <v>0</v>
          </cell>
          <cell r="H17">
            <v>0</v>
          </cell>
          <cell r="I17" t="str">
            <v>nd</v>
          </cell>
          <cell r="J17">
            <v>0</v>
          </cell>
          <cell r="K17">
            <v>0</v>
          </cell>
          <cell r="L17">
            <v>0</v>
          </cell>
          <cell r="M17">
            <v>0</v>
          </cell>
          <cell r="N17">
            <v>0</v>
          </cell>
          <cell r="O17">
            <v>0</v>
          </cell>
          <cell r="P17" t="str">
            <v>nd</v>
          </cell>
          <cell r="Q17" t="str">
            <v>nd</v>
          </cell>
          <cell r="R17">
            <v>0</v>
          </cell>
          <cell r="S17">
            <v>0</v>
          </cell>
          <cell r="T17">
            <v>0</v>
          </cell>
          <cell r="U17">
            <v>0</v>
          </cell>
          <cell r="V17">
            <v>0</v>
          </cell>
          <cell r="W17">
            <v>0</v>
          </cell>
          <cell r="X17" t="str">
            <v>nd</v>
          </cell>
          <cell r="Y17">
            <v>0</v>
          </cell>
          <cell r="Z17">
            <v>0</v>
          </cell>
          <cell r="AA17">
            <v>0</v>
          </cell>
          <cell r="AB17">
            <v>0</v>
          </cell>
          <cell r="AC17">
            <v>0</v>
          </cell>
          <cell r="AD17">
            <v>0</v>
          </cell>
          <cell r="AE17" t="str">
            <v>nd</v>
          </cell>
          <cell r="AF17" t="str">
            <v>nd</v>
          </cell>
          <cell r="AG17" t="str">
            <v>nd</v>
          </cell>
          <cell r="AH17">
            <v>0</v>
          </cell>
          <cell r="AI17">
            <v>0</v>
          </cell>
          <cell r="AJ17">
            <v>0</v>
          </cell>
          <cell r="AK17">
            <v>0</v>
          </cell>
          <cell r="AL17" t="str">
            <v>nd</v>
          </cell>
          <cell r="AM17">
            <v>0</v>
          </cell>
          <cell r="AN17">
            <v>0</v>
          </cell>
          <cell r="AO17">
            <v>0</v>
          </cell>
          <cell r="AP17">
            <v>0</v>
          </cell>
          <cell r="AQ17" t="str">
            <v>nd</v>
          </cell>
          <cell r="AR17">
            <v>0</v>
          </cell>
          <cell r="AS17">
            <v>0</v>
          </cell>
          <cell r="AT17" t="str">
            <v>nd</v>
          </cell>
          <cell r="AU17">
            <v>0</v>
          </cell>
          <cell r="AV17">
            <v>0</v>
          </cell>
          <cell r="AW17">
            <v>0</v>
          </cell>
          <cell r="AX17">
            <v>0</v>
          </cell>
          <cell r="AY17">
            <v>0</v>
          </cell>
          <cell r="AZ17">
            <v>0</v>
          </cell>
          <cell r="BA17">
            <v>0</v>
          </cell>
          <cell r="BB17" t="str">
            <v>nd</v>
          </cell>
          <cell r="BC17">
            <v>0</v>
          </cell>
          <cell r="BD17">
            <v>0</v>
          </cell>
          <cell r="BE17">
            <v>0</v>
          </cell>
          <cell r="BF17">
            <v>0</v>
          </cell>
          <cell r="BG17">
            <v>0</v>
          </cell>
          <cell r="BH17">
            <v>0</v>
          </cell>
          <cell r="BI17">
            <v>0</v>
          </cell>
          <cell r="BJ17" t="str">
            <v>nd</v>
          </cell>
          <cell r="BK17">
            <v>0</v>
          </cell>
          <cell r="BL17">
            <v>0</v>
          </cell>
          <cell r="BM17">
            <v>0</v>
          </cell>
          <cell r="BN17" t="str">
            <v>nd</v>
          </cell>
          <cell r="BO17" t="str">
            <v>nd</v>
          </cell>
          <cell r="BP17">
            <v>0</v>
          </cell>
          <cell r="BQ17">
            <v>0</v>
          </cell>
          <cell r="BR17">
            <v>0</v>
          </cell>
          <cell r="BS17">
            <v>0</v>
          </cell>
          <cell r="BT17">
            <v>0</v>
          </cell>
          <cell r="BU17">
            <v>0</v>
          </cell>
          <cell r="BV17" t="str">
            <v>nd</v>
          </cell>
          <cell r="BW17">
            <v>0</v>
          </cell>
          <cell r="BX17">
            <v>0</v>
          </cell>
          <cell r="BY17">
            <v>0</v>
          </cell>
          <cell r="BZ17">
            <v>0</v>
          </cell>
          <cell r="CA17">
            <v>0</v>
          </cell>
          <cell r="CB17" t="str">
            <v>nd</v>
          </cell>
          <cell r="CC17">
            <v>0</v>
          </cell>
          <cell r="CD17">
            <v>0</v>
          </cell>
          <cell r="CE17">
            <v>0</v>
          </cell>
          <cell r="CF17">
            <v>0</v>
          </cell>
          <cell r="CG17">
            <v>0</v>
          </cell>
          <cell r="CH17" t="str">
            <v>nd</v>
          </cell>
          <cell r="CI17" t="str">
            <v>nd</v>
          </cell>
          <cell r="CJ17" t="str">
            <v>nd</v>
          </cell>
          <cell r="CK17">
            <v>0</v>
          </cell>
          <cell r="CL17">
            <v>0</v>
          </cell>
          <cell r="CM17">
            <v>0</v>
          </cell>
          <cell r="CN17">
            <v>0</v>
          </cell>
          <cell r="CO17" t="str">
            <v>nd</v>
          </cell>
          <cell r="CP17" t="str">
            <v>nd</v>
          </cell>
          <cell r="CQ17">
            <v>0</v>
          </cell>
          <cell r="CR17">
            <v>0</v>
          </cell>
          <cell r="CS17" t="str">
            <v>nd</v>
          </cell>
          <cell r="CT17">
            <v>0</v>
          </cell>
          <cell r="CU17" t="str">
            <v>nd</v>
          </cell>
          <cell r="CV17" t="str">
            <v>nd</v>
          </cell>
          <cell r="CW17" t="str">
            <v>nd</v>
          </cell>
          <cell r="CX17">
            <v>0</v>
          </cell>
          <cell r="CY17">
            <v>0</v>
          </cell>
          <cell r="CZ17" t="str">
            <v>nd</v>
          </cell>
          <cell r="DA17">
            <v>0</v>
          </cell>
          <cell r="DB17">
            <v>0</v>
          </cell>
          <cell r="DC17">
            <v>0</v>
          </cell>
          <cell r="DD17">
            <v>0</v>
          </cell>
          <cell r="DE17">
            <v>0</v>
          </cell>
          <cell r="DF17" t="str">
            <v>nd</v>
          </cell>
          <cell r="DG17">
            <v>0</v>
          </cell>
          <cell r="DH17">
            <v>0</v>
          </cell>
          <cell r="DI17">
            <v>0</v>
          </cell>
          <cell r="DJ17">
            <v>0</v>
          </cell>
          <cell r="DK17">
            <v>0</v>
          </cell>
          <cell r="DL17">
            <v>0</v>
          </cell>
          <cell r="DM17">
            <v>0</v>
          </cell>
          <cell r="DN17" t="str">
            <v>nd</v>
          </cell>
          <cell r="DO17">
            <v>0</v>
          </cell>
          <cell r="DP17">
            <v>0</v>
          </cell>
          <cell r="DQ17">
            <v>0</v>
          </cell>
          <cell r="DR17" t="str">
            <v>nd</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t="str">
            <v>nd</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t="str">
            <v>nd</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t="str">
            <v>nd</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0</v>
          </cell>
          <cell r="HS17">
            <v>0</v>
          </cell>
          <cell r="HT17">
            <v>0</v>
          </cell>
          <cell r="HU17">
            <v>0</v>
          </cell>
          <cell r="HV17">
            <v>0</v>
          </cell>
          <cell r="HW17">
            <v>0</v>
          </cell>
          <cell r="HX17" t="str">
            <v>nd</v>
          </cell>
          <cell r="HY17" t="str">
            <v>nd</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cell r="IQ17">
            <v>0</v>
          </cell>
          <cell r="IR17">
            <v>0</v>
          </cell>
          <cell r="IS17">
            <v>0</v>
          </cell>
          <cell r="IT17">
            <v>0</v>
          </cell>
          <cell r="IU17">
            <v>0</v>
          </cell>
          <cell r="IV17">
            <v>0</v>
          </cell>
          <cell r="IW17">
            <v>0</v>
          </cell>
          <cell r="IX17">
            <v>0</v>
          </cell>
          <cell r="IY17">
            <v>0</v>
          </cell>
          <cell r="IZ17">
            <v>0</v>
          </cell>
          <cell r="JA17">
            <v>0</v>
          </cell>
          <cell r="JB17">
            <v>0</v>
          </cell>
          <cell r="JC17" t="str">
            <v>nd</v>
          </cell>
          <cell r="JD17">
            <v>0</v>
          </cell>
          <cell r="JE17">
            <v>0</v>
          </cell>
          <cell r="JF17">
            <v>0</v>
          </cell>
          <cell r="JG17">
            <v>0</v>
          </cell>
          <cell r="JH17">
            <v>0</v>
          </cell>
          <cell r="JI17">
            <v>0</v>
          </cell>
          <cell r="JJ17">
            <v>0</v>
          </cell>
          <cell r="JK17">
            <v>0</v>
          </cell>
          <cell r="JL17">
            <v>0</v>
          </cell>
          <cell r="JM17">
            <v>0</v>
          </cell>
          <cell r="JN17">
            <v>0</v>
          </cell>
          <cell r="JO17">
            <v>0</v>
          </cell>
          <cell r="JP17">
            <v>0</v>
          </cell>
          <cell r="JQ17">
            <v>0</v>
          </cell>
          <cell r="JR17">
            <v>0</v>
          </cell>
          <cell r="JS17">
            <v>0</v>
          </cell>
          <cell r="JT17">
            <v>0</v>
          </cell>
          <cell r="JU17">
            <v>0</v>
          </cell>
          <cell r="JV17">
            <v>0</v>
          </cell>
          <cell r="JW17">
            <v>0</v>
          </cell>
          <cell r="JX17">
            <v>0</v>
          </cell>
          <cell r="JY17">
            <v>0</v>
          </cell>
          <cell r="JZ17">
            <v>0</v>
          </cell>
          <cell r="KA17">
            <v>0</v>
          </cell>
          <cell r="KB17">
            <v>0</v>
          </cell>
          <cell r="KC17">
            <v>0</v>
          </cell>
          <cell r="KD17">
            <v>0</v>
          </cell>
          <cell r="KE17">
            <v>0</v>
          </cell>
          <cell r="KF17" t="str">
            <v>nd</v>
          </cell>
          <cell r="KG17">
            <v>0</v>
          </cell>
          <cell r="KH17">
            <v>0</v>
          </cell>
          <cell r="KI17">
            <v>0</v>
          </cell>
          <cell r="KJ17">
            <v>0</v>
          </cell>
          <cell r="KK17">
            <v>0</v>
          </cell>
          <cell r="KL17">
            <v>0</v>
          </cell>
          <cell r="KM17" t="str">
            <v>nd</v>
          </cell>
          <cell r="KN17" t="str">
            <v>nd</v>
          </cell>
          <cell r="KO17" t="str">
            <v>nd</v>
          </cell>
          <cell r="KP17" t="str">
            <v>nd</v>
          </cell>
          <cell r="KQ17" t="str">
            <v>nd</v>
          </cell>
          <cell r="KR17" t="str">
            <v>nd</v>
          </cell>
          <cell r="KS17" t="str">
            <v>nd</v>
          </cell>
          <cell r="KT17" t="str">
            <v>nd</v>
          </cell>
          <cell r="KU17" t="str">
            <v>nd</v>
          </cell>
          <cell r="KV17" t="str">
            <v>nd</v>
          </cell>
          <cell r="KW17" t="str">
            <v>nd</v>
          </cell>
          <cell r="KX17" t="str">
            <v>nd</v>
          </cell>
          <cell r="KY17"/>
          <cell r="KZ17"/>
          <cell r="LA17"/>
          <cell r="LB17"/>
          <cell r="LC17"/>
          <cell r="LD17"/>
          <cell r="LE17"/>
          <cell r="LF17"/>
          <cell r="LG17"/>
          <cell r="LH17"/>
          <cell r="LI17"/>
          <cell r="LJ17"/>
          <cell r="LK17"/>
          <cell r="LL17"/>
          <cell r="LM17"/>
          <cell r="LN17"/>
          <cell r="LO17"/>
        </row>
        <row r="18">
          <cell r="A18" t="str">
            <v>3C2</v>
          </cell>
          <cell r="B18" t="str">
            <v>18</v>
          </cell>
          <cell r="C18" t="str">
            <v>NAF 17</v>
          </cell>
          <cell r="D18" t="str">
            <v>C2</v>
          </cell>
          <cell r="E18" t="str">
            <v>3</v>
          </cell>
          <cell r="F18">
            <v>0</v>
          </cell>
          <cell r="G18">
            <v>0</v>
          </cell>
          <cell r="H18">
            <v>0</v>
          </cell>
          <cell r="I18">
            <v>0</v>
          </cell>
          <cell r="J18">
            <v>100</v>
          </cell>
          <cell r="K18">
            <v>0</v>
          </cell>
          <cell r="L18">
            <v>0</v>
          </cell>
          <cell r="M18">
            <v>0</v>
          </cell>
          <cell r="N18">
            <v>0</v>
          </cell>
          <cell r="O18">
            <v>0</v>
          </cell>
          <cell r="P18" t="str">
            <v>nd</v>
          </cell>
          <cell r="Q18">
            <v>0</v>
          </cell>
          <cell r="R18">
            <v>0</v>
          </cell>
          <cell r="S18">
            <v>0</v>
          </cell>
          <cell r="T18">
            <v>0</v>
          </cell>
          <cell r="U18">
            <v>0</v>
          </cell>
          <cell r="V18" t="str">
            <v>nd</v>
          </cell>
          <cell r="W18">
            <v>0</v>
          </cell>
          <cell r="X18">
            <v>100</v>
          </cell>
          <cell r="Y18">
            <v>0</v>
          </cell>
          <cell r="Z18">
            <v>0</v>
          </cell>
          <cell r="AA18">
            <v>0</v>
          </cell>
          <cell r="AB18">
            <v>0</v>
          </cell>
          <cell r="AC18">
            <v>0</v>
          </cell>
          <cell r="AD18">
            <v>0</v>
          </cell>
          <cell r="AE18" t="str">
            <v>nd</v>
          </cell>
          <cell r="AF18" t="str">
            <v>nd</v>
          </cell>
          <cell r="AG18" t="str">
            <v>nd</v>
          </cell>
          <cell r="AH18">
            <v>0</v>
          </cell>
          <cell r="AI18">
            <v>0</v>
          </cell>
          <cell r="AJ18">
            <v>0</v>
          </cell>
          <cell r="AK18">
            <v>0</v>
          </cell>
          <cell r="AL18" t="str">
            <v>nd</v>
          </cell>
          <cell r="AM18">
            <v>0</v>
          </cell>
          <cell r="AN18">
            <v>0</v>
          </cell>
          <cell r="AO18">
            <v>0</v>
          </cell>
          <cell r="AP18">
            <v>0</v>
          </cell>
          <cell r="AQ18" t="str">
            <v>nd</v>
          </cell>
          <cell r="AR18">
            <v>0</v>
          </cell>
          <cell r="AS18" t="str">
            <v>nd</v>
          </cell>
          <cell r="AT18" t="str">
            <v>nd</v>
          </cell>
          <cell r="AU18">
            <v>0</v>
          </cell>
          <cell r="AV18">
            <v>0</v>
          </cell>
          <cell r="AW18">
            <v>0</v>
          </cell>
          <cell r="AX18">
            <v>0</v>
          </cell>
          <cell r="AY18">
            <v>0</v>
          </cell>
          <cell r="AZ18">
            <v>0</v>
          </cell>
          <cell r="BA18">
            <v>0</v>
          </cell>
          <cell r="BB18">
            <v>0</v>
          </cell>
          <cell r="BC18" t="str">
            <v>nd</v>
          </cell>
          <cell r="BD18" t="str">
            <v>nd</v>
          </cell>
          <cell r="BE18">
            <v>0</v>
          </cell>
          <cell r="BF18">
            <v>0</v>
          </cell>
          <cell r="BG18">
            <v>0</v>
          </cell>
          <cell r="BH18">
            <v>0</v>
          </cell>
          <cell r="BI18" t="str">
            <v>nd</v>
          </cell>
          <cell r="BJ18" t="str">
            <v>nd</v>
          </cell>
          <cell r="BK18">
            <v>0</v>
          </cell>
          <cell r="BL18">
            <v>0</v>
          </cell>
          <cell r="BM18">
            <v>0</v>
          </cell>
          <cell r="BN18">
            <v>0</v>
          </cell>
          <cell r="BO18">
            <v>100</v>
          </cell>
          <cell r="BP18">
            <v>0</v>
          </cell>
          <cell r="BQ18">
            <v>0</v>
          </cell>
          <cell r="BR18">
            <v>0</v>
          </cell>
          <cell r="BS18">
            <v>0</v>
          </cell>
          <cell r="BT18">
            <v>0</v>
          </cell>
          <cell r="BU18">
            <v>100</v>
          </cell>
          <cell r="BV18">
            <v>0</v>
          </cell>
          <cell r="BW18">
            <v>0</v>
          </cell>
          <cell r="BX18">
            <v>0</v>
          </cell>
          <cell r="BY18">
            <v>0</v>
          </cell>
          <cell r="BZ18">
            <v>0</v>
          </cell>
          <cell r="CA18">
            <v>0</v>
          </cell>
          <cell r="CB18">
            <v>100</v>
          </cell>
          <cell r="CC18">
            <v>0</v>
          </cell>
          <cell r="CD18">
            <v>0</v>
          </cell>
          <cell r="CE18">
            <v>0</v>
          </cell>
          <cell r="CF18">
            <v>0</v>
          </cell>
          <cell r="CG18">
            <v>0</v>
          </cell>
          <cell r="CH18">
            <v>0</v>
          </cell>
          <cell r="CI18">
            <v>0</v>
          </cell>
          <cell r="CJ18" t="str">
            <v>nd</v>
          </cell>
          <cell r="CK18" t="str">
            <v>nd</v>
          </cell>
          <cell r="CL18" t="str">
            <v>nd</v>
          </cell>
          <cell r="CM18" t="str">
            <v>nd</v>
          </cell>
          <cell r="CN18" t="str">
            <v>nd</v>
          </cell>
          <cell r="CO18" t="str">
            <v>nd</v>
          </cell>
          <cell r="CP18" t="str">
            <v>nd</v>
          </cell>
          <cell r="CQ18" t="str">
            <v>nd</v>
          </cell>
          <cell r="CR18">
            <v>0</v>
          </cell>
          <cell r="CS18" t="str">
            <v>nd</v>
          </cell>
          <cell r="CT18">
            <v>0</v>
          </cell>
          <cell r="CU18">
            <v>100</v>
          </cell>
          <cell r="CV18" t="str">
            <v>nd</v>
          </cell>
          <cell r="CW18" t="str">
            <v>nd</v>
          </cell>
          <cell r="CX18" t="str">
            <v>nd</v>
          </cell>
          <cell r="CY18" t="str">
            <v>nd</v>
          </cell>
          <cell r="CZ18">
            <v>0</v>
          </cell>
          <cell r="DA18">
            <v>0</v>
          </cell>
          <cell r="DB18">
            <v>0</v>
          </cell>
          <cell r="DC18" t="str">
            <v>nd</v>
          </cell>
          <cell r="DD18">
            <v>0</v>
          </cell>
          <cell r="DE18">
            <v>0</v>
          </cell>
          <cell r="DF18" t="str">
            <v>nd</v>
          </cell>
          <cell r="DG18">
            <v>0</v>
          </cell>
          <cell r="DH18">
            <v>0</v>
          </cell>
          <cell r="DI18">
            <v>0</v>
          </cell>
          <cell r="DJ18">
            <v>0</v>
          </cell>
          <cell r="DK18" t="str">
            <v>nd</v>
          </cell>
          <cell r="DL18" t="str">
            <v>nd</v>
          </cell>
          <cell r="DM18" t="str">
            <v>nd</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t="str">
            <v>nd</v>
          </cell>
          <cell r="ES18" t="str">
            <v>nd</v>
          </cell>
          <cell r="ET18">
            <v>0</v>
          </cell>
          <cell r="EU18">
            <v>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v>
          </cell>
          <cell r="FY18" t="str">
            <v>nd</v>
          </cell>
          <cell r="FZ18" t="str">
            <v>nd</v>
          </cell>
          <cell r="GA18">
            <v>0</v>
          </cell>
          <cell r="GB18">
            <v>0</v>
          </cell>
          <cell r="GC18">
            <v>0</v>
          </cell>
          <cell r="GD18">
            <v>0</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v>
          </cell>
          <cell r="GS18">
            <v>0</v>
          </cell>
          <cell r="GT18">
            <v>0</v>
          </cell>
          <cell r="GU18">
            <v>0</v>
          </cell>
          <cell r="GV18">
            <v>0</v>
          </cell>
          <cell r="GW18">
            <v>0</v>
          </cell>
          <cell r="GX18">
            <v>0</v>
          </cell>
          <cell r="GY18">
            <v>0</v>
          </cell>
          <cell r="GZ18">
            <v>0</v>
          </cell>
          <cell r="HA18">
            <v>0</v>
          </cell>
          <cell r="HB18" t="str">
            <v>nd</v>
          </cell>
          <cell r="HC18" t="str">
            <v>nd</v>
          </cell>
          <cell r="HD18">
            <v>0</v>
          </cell>
          <cell r="HE18">
            <v>0</v>
          </cell>
          <cell r="HF18">
            <v>0</v>
          </cell>
          <cell r="HG18">
            <v>0</v>
          </cell>
          <cell r="HH18">
            <v>0</v>
          </cell>
          <cell r="HI18">
            <v>0</v>
          </cell>
          <cell r="HJ18">
            <v>0</v>
          </cell>
          <cell r="HK18">
            <v>0</v>
          </cell>
          <cell r="HL18">
            <v>0</v>
          </cell>
          <cell r="HM18">
            <v>0</v>
          </cell>
          <cell r="HN18">
            <v>0</v>
          </cell>
          <cell r="HO18">
            <v>0</v>
          </cell>
          <cell r="HP18">
            <v>0</v>
          </cell>
          <cell r="HQ18">
            <v>0</v>
          </cell>
          <cell r="HR18">
            <v>0</v>
          </cell>
          <cell r="HS18">
            <v>0</v>
          </cell>
          <cell r="HT18">
            <v>0</v>
          </cell>
          <cell r="HU18">
            <v>0</v>
          </cell>
          <cell r="HV18">
            <v>0</v>
          </cell>
          <cell r="HW18">
            <v>0</v>
          </cell>
          <cell r="HX18">
            <v>0</v>
          </cell>
          <cell r="HY18">
            <v>0</v>
          </cell>
          <cell r="HZ18">
            <v>0</v>
          </cell>
          <cell r="IA18">
            <v>0</v>
          </cell>
          <cell r="IB18">
            <v>0</v>
          </cell>
          <cell r="IC18">
            <v>0</v>
          </cell>
          <cell r="ID18">
            <v>0</v>
          </cell>
          <cell r="IE18">
            <v>100</v>
          </cell>
          <cell r="IF18">
            <v>0</v>
          </cell>
          <cell r="IG18">
            <v>0</v>
          </cell>
          <cell r="IH18">
            <v>0</v>
          </cell>
          <cell r="II18">
            <v>0</v>
          </cell>
          <cell r="IJ18">
            <v>0</v>
          </cell>
          <cell r="IK18">
            <v>0</v>
          </cell>
          <cell r="IL18">
            <v>0</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v>
          </cell>
          <cell r="JA18">
            <v>0</v>
          </cell>
          <cell r="JB18">
            <v>0</v>
          </cell>
          <cell r="JC18">
            <v>0</v>
          </cell>
          <cell r="JD18">
            <v>0</v>
          </cell>
          <cell r="JE18">
            <v>0</v>
          </cell>
          <cell r="JF18">
            <v>0</v>
          </cell>
          <cell r="JG18">
            <v>0</v>
          </cell>
          <cell r="JH18">
            <v>100</v>
          </cell>
          <cell r="JI18">
            <v>0</v>
          </cell>
          <cell r="JJ18">
            <v>0</v>
          </cell>
          <cell r="JK18">
            <v>0</v>
          </cell>
          <cell r="JL18">
            <v>0</v>
          </cell>
          <cell r="JM18">
            <v>0</v>
          </cell>
          <cell r="JN18">
            <v>0</v>
          </cell>
          <cell r="JO18">
            <v>0</v>
          </cell>
          <cell r="JP18">
            <v>0</v>
          </cell>
          <cell r="JQ18">
            <v>0</v>
          </cell>
          <cell r="JR18">
            <v>0</v>
          </cell>
          <cell r="JS18">
            <v>0</v>
          </cell>
          <cell r="JT18">
            <v>0</v>
          </cell>
          <cell r="JU18">
            <v>0</v>
          </cell>
          <cell r="JV18">
            <v>0</v>
          </cell>
          <cell r="JW18">
            <v>0</v>
          </cell>
          <cell r="JX18">
            <v>0</v>
          </cell>
          <cell r="JY18">
            <v>0</v>
          </cell>
          <cell r="JZ18">
            <v>0</v>
          </cell>
          <cell r="KA18">
            <v>0</v>
          </cell>
          <cell r="KB18">
            <v>0</v>
          </cell>
          <cell r="KC18">
            <v>0</v>
          </cell>
          <cell r="KD18">
            <v>0</v>
          </cell>
          <cell r="KE18">
            <v>0</v>
          </cell>
          <cell r="KF18">
            <v>0</v>
          </cell>
          <cell r="KG18">
            <v>0</v>
          </cell>
          <cell r="KH18">
            <v>0</v>
          </cell>
          <cell r="KI18">
            <v>0</v>
          </cell>
          <cell r="KJ18">
            <v>0</v>
          </cell>
          <cell r="KK18">
            <v>0</v>
          </cell>
          <cell r="KL18">
            <v>100</v>
          </cell>
          <cell r="KM18">
            <v>80.800000000000011</v>
          </cell>
          <cell r="KN18">
            <v>4.1000000000000005</v>
          </cell>
          <cell r="KO18">
            <v>3.9</v>
          </cell>
          <cell r="KP18">
            <v>5.6000000000000005</v>
          </cell>
          <cell r="KQ18">
            <v>5.6000000000000005</v>
          </cell>
          <cell r="KR18">
            <v>0</v>
          </cell>
          <cell r="KS18">
            <v>80.800000000000011</v>
          </cell>
          <cell r="KT18">
            <v>4.1000000000000005</v>
          </cell>
          <cell r="KU18">
            <v>3.9</v>
          </cell>
          <cell r="KV18">
            <v>5.6000000000000005</v>
          </cell>
          <cell r="KW18">
            <v>5.6000000000000005</v>
          </cell>
          <cell r="KX18">
            <v>0</v>
          </cell>
          <cell r="KY18"/>
          <cell r="KZ18"/>
          <cell r="LA18"/>
          <cell r="LB18"/>
          <cell r="LC18"/>
          <cell r="LD18"/>
          <cell r="LE18"/>
          <cell r="LF18"/>
          <cell r="LG18"/>
          <cell r="LH18"/>
          <cell r="LI18"/>
          <cell r="LJ18"/>
          <cell r="LK18"/>
          <cell r="LL18"/>
          <cell r="LM18"/>
          <cell r="LN18"/>
          <cell r="LO18"/>
        </row>
        <row r="19">
          <cell r="A19" t="str">
            <v>5C2</v>
          </cell>
          <cell r="B19" t="str">
            <v>19</v>
          </cell>
          <cell r="C19" t="str">
            <v>NAF 17</v>
          </cell>
          <cell r="D19" t="str">
            <v>C2</v>
          </cell>
          <cell r="E19" t="str">
            <v>5</v>
          </cell>
          <cell r="F19">
            <v>0</v>
          </cell>
          <cell r="G19" t="str">
            <v>nd</v>
          </cell>
          <cell r="H19">
            <v>0</v>
          </cell>
          <cell r="I19">
            <v>0</v>
          </cell>
          <cell r="J19">
            <v>0</v>
          </cell>
          <cell r="K19" t="str">
            <v>nd</v>
          </cell>
          <cell r="L19">
            <v>0</v>
          </cell>
          <cell r="M19">
            <v>0</v>
          </cell>
          <cell r="N19">
            <v>0</v>
          </cell>
          <cell r="O19">
            <v>0</v>
          </cell>
          <cell r="P19">
            <v>0</v>
          </cell>
          <cell r="Q19">
            <v>0</v>
          </cell>
          <cell r="R19">
            <v>0</v>
          </cell>
          <cell r="S19">
            <v>0</v>
          </cell>
          <cell r="T19" t="str">
            <v>nd</v>
          </cell>
          <cell r="U19">
            <v>0</v>
          </cell>
          <cell r="V19">
            <v>0</v>
          </cell>
          <cell r="W19">
            <v>0</v>
          </cell>
          <cell r="X19" t="str">
            <v>nd</v>
          </cell>
          <cell r="Y19">
            <v>0</v>
          </cell>
          <cell r="Z19">
            <v>0</v>
          </cell>
          <cell r="AA19">
            <v>0</v>
          </cell>
          <cell r="AB19">
            <v>0</v>
          </cell>
          <cell r="AC19">
            <v>0</v>
          </cell>
          <cell r="AD19">
            <v>0</v>
          </cell>
          <cell r="AE19">
            <v>0</v>
          </cell>
          <cell r="AF19" t="str">
            <v>nd</v>
          </cell>
          <cell r="AG19">
            <v>0</v>
          </cell>
          <cell r="AH19">
            <v>0</v>
          </cell>
          <cell r="AI19">
            <v>0</v>
          </cell>
          <cell r="AJ19">
            <v>0</v>
          </cell>
          <cell r="AK19">
            <v>0</v>
          </cell>
          <cell r="AL19">
            <v>0</v>
          </cell>
          <cell r="AM19">
            <v>0</v>
          </cell>
          <cell r="AN19">
            <v>0</v>
          </cell>
          <cell r="AO19">
            <v>0</v>
          </cell>
          <cell r="AP19">
            <v>0</v>
          </cell>
          <cell r="AQ19">
            <v>0</v>
          </cell>
          <cell r="AR19">
            <v>0</v>
          </cell>
          <cell r="AS19">
            <v>0</v>
          </cell>
          <cell r="AT19" t="str">
            <v>nd</v>
          </cell>
          <cell r="AU19">
            <v>0</v>
          </cell>
          <cell r="AV19">
            <v>0</v>
          </cell>
          <cell r="AW19">
            <v>0</v>
          </cell>
          <cell r="AX19">
            <v>0</v>
          </cell>
          <cell r="AY19">
            <v>0</v>
          </cell>
          <cell r="AZ19">
            <v>0</v>
          </cell>
          <cell r="BA19">
            <v>0</v>
          </cell>
          <cell r="BB19" t="str">
            <v>nd</v>
          </cell>
          <cell r="BC19">
            <v>0</v>
          </cell>
          <cell r="BD19">
            <v>0</v>
          </cell>
          <cell r="BE19">
            <v>0</v>
          </cell>
          <cell r="BF19">
            <v>0</v>
          </cell>
          <cell r="BG19">
            <v>0</v>
          </cell>
          <cell r="BH19">
            <v>0</v>
          </cell>
          <cell r="BI19">
            <v>0</v>
          </cell>
          <cell r="BJ19" t="str">
            <v>nd</v>
          </cell>
          <cell r="BK19">
            <v>0</v>
          </cell>
          <cell r="BL19">
            <v>0</v>
          </cell>
          <cell r="BM19">
            <v>0</v>
          </cell>
          <cell r="BN19">
            <v>0</v>
          </cell>
          <cell r="BO19">
            <v>0</v>
          </cell>
          <cell r="BP19" t="str">
            <v>nd</v>
          </cell>
          <cell r="BQ19">
            <v>0</v>
          </cell>
          <cell r="BR19">
            <v>0</v>
          </cell>
          <cell r="BS19">
            <v>0</v>
          </cell>
          <cell r="BT19">
            <v>0</v>
          </cell>
          <cell r="BU19">
            <v>0</v>
          </cell>
          <cell r="BV19" t="str">
            <v>nd</v>
          </cell>
          <cell r="BW19">
            <v>0</v>
          </cell>
          <cell r="BX19">
            <v>0</v>
          </cell>
          <cell r="BY19">
            <v>0</v>
          </cell>
          <cell r="BZ19">
            <v>0</v>
          </cell>
          <cell r="CA19">
            <v>0</v>
          </cell>
          <cell r="CB19" t="str">
            <v>nd</v>
          </cell>
          <cell r="CC19">
            <v>0</v>
          </cell>
          <cell r="CD19" t="str">
            <v>nd</v>
          </cell>
          <cell r="CE19">
            <v>0</v>
          </cell>
          <cell r="CF19">
            <v>0</v>
          </cell>
          <cell r="CG19">
            <v>0</v>
          </cell>
          <cell r="CH19">
            <v>0</v>
          </cell>
          <cell r="CI19">
            <v>0</v>
          </cell>
          <cell r="CJ19">
            <v>0</v>
          </cell>
          <cell r="CK19">
            <v>0</v>
          </cell>
          <cell r="CL19">
            <v>0</v>
          </cell>
          <cell r="CM19">
            <v>0</v>
          </cell>
          <cell r="CN19">
            <v>0</v>
          </cell>
          <cell r="CO19" t="str">
            <v>nd</v>
          </cell>
          <cell r="CP19" t="str">
            <v>nd</v>
          </cell>
          <cell r="CQ19">
            <v>0</v>
          </cell>
          <cell r="CR19">
            <v>0</v>
          </cell>
          <cell r="CS19">
            <v>0</v>
          </cell>
          <cell r="CT19">
            <v>0</v>
          </cell>
          <cell r="CU19" t="str">
            <v>nd</v>
          </cell>
          <cell r="CV19">
            <v>0</v>
          </cell>
          <cell r="CW19" t="str">
            <v>nd</v>
          </cell>
          <cell r="CX19">
            <v>0</v>
          </cell>
          <cell r="CY19">
            <v>0</v>
          </cell>
          <cell r="CZ19" t="str">
            <v>nd</v>
          </cell>
          <cell r="DA19">
            <v>0</v>
          </cell>
          <cell r="DB19">
            <v>0</v>
          </cell>
          <cell r="DC19">
            <v>0</v>
          </cell>
          <cell r="DD19">
            <v>0</v>
          </cell>
          <cell r="DE19">
            <v>0</v>
          </cell>
          <cell r="DF19">
            <v>0</v>
          </cell>
          <cell r="DG19">
            <v>0</v>
          </cell>
          <cell r="DH19" t="str">
            <v>nd</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t="str">
            <v>nd</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t="str">
            <v>nd</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t="str">
            <v>nd</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t="str">
            <v>nd</v>
          </cell>
          <cell r="HO19">
            <v>0</v>
          </cell>
          <cell r="HP19">
            <v>0</v>
          </cell>
          <cell r="HQ19">
            <v>0</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t="str">
            <v>nd</v>
          </cell>
          <cell r="IR19">
            <v>0</v>
          </cell>
          <cell r="IS19">
            <v>0</v>
          </cell>
          <cell r="IT19">
            <v>0</v>
          </cell>
          <cell r="IU19">
            <v>0</v>
          </cell>
          <cell r="IV19">
            <v>0</v>
          </cell>
          <cell r="IW19">
            <v>0</v>
          </cell>
          <cell r="IX19">
            <v>0</v>
          </cell>
          <cell r="IY19">
            <v>0</v>
          </cell>
          <cell r="IZ19">
            <v>0</v>
          </cell>
          <cell r="JA19">
            <v>0</v>
          </cell>
          <cell r="JB19">
            <v>0</v>
          </cell>
          <cell r="JC19">
            <v>0</v>
          </cell>
          <cell r="JD19">
            <v>0</v>
          </cell>
          <cell r="JE19">
            <v>0</v>
          </cell>
          <cell r="JF19">
            <v>0</v>
          </cell>
          <cell r="JG19">
            <v>0</v>
          </cell>
          <cell r="JH19">
            <v>0</v>
          </cell>
          <cell r="JI19">
            <v>0</v>
          </cell>
          <cell r="JJ19">
            <v>0</v>
          </cell>
          <cell r="JK19">
            <v>0</v>
          </cell>
          <cell r="JL19">
            <v>0</v>
          </cell>
          <cell r="JM19">
            <v>0</v>
          </cell>
          <cell r="JN19">
            <v>0</v>
          </cell>
          <cell r="JO19">
            <v>0</v>
          </cell>
          <cell r="JP19">
            <v>0</v>
          </cell>
          <cell r="JQ19">
            <v>0</v>
          </cell>
          <cell r="JR19">
            <v>0</v>
          </cell>
          <cell r="JS19">
            <v>0</v>
          </cell>
          <cell r="JT19" t="str">
            <v>nd</v>
          </cell>
          <cell r="JU19">
            <v>0</v>
          </cell>
          <cell r="JV19">
            <v>0</v>
          </cell>
          <cell r="JW19">
            <v>0</v>
          </cell>
          <cell r="JX19">
            <v>0</v>
          </cell>
          <cell r="JY19">
            <v>0</v>
          </cell>
          <cell r="JZ19">
            <v>0</v>
          </cell>
          <cell r="KA19">
            <v>0</v>
          </cell>
          <cell r="KB19">
            <v>0</v>
          </cell>
          <cell r="KC19">
            <v>0</v>
          </cell>
          <cell r="KD19">
            <v>0</v>
          </cell>
          <cell r="KE19">
            <v>0</v>
          </cell>
          <cell r="KF19">
            <v>0</v>
          </cell>
          <cell r="KG19">
            <v>0</v>
          </cell>
          <cell r="KH19">
            <v>0</v>
          </cell>
          <cell r="KI19">
            <v>0</v>
          </cell>
          <cell r="KJ19">
            <v>0</v>
          </cell>
          <cell r="KK19">
            <v>0</v>
          </cell>
          <cell r="KL19">
            <v>0</v>
          </cell>
          <cell r="KM19" t="str">
            <v>nd</v>
          </cell>
          <cell r="KN19" t="str">
            <v>nd</v>
          </cell>
          <cell r="KO19" t="str">
            <v>nd</v>
          </cell>
          <cell r="KP19" t="str">
            <v>nd</v>
          </cell>
          <cell r="KQ19" t="str">
            <v>nd</v>
          </cell>
          <cell r="KR19" t="str">
            <v>nd</v>
          </cell>
          <cell r="KS19" t="str">
            <v>nd</v>
          </cell>
          <cell r="KT19" t="str">
            <v>nd</v>
          </cell>
          <cell r="KU19" t="str">
            <v>nd</v>
          </cell>
          <cell r="KV19" t="str">
            <v>nd</v>
          </cell>
          <cell r="KW19" t="str">
            <v>nd</v>
          </cell>
          <cell r="KX19" t="str">
            <v>nd</v>
          </cell>
          <cell r="KY19"/>
          <cell r="KZ19"/>
          <cell r="LA19"/>
          <cell r="LB19"/>
          <cell r="LC19"/>
          <cell r="LD19"/>
          <cell r="LE19"/>
          <cell r="LF19"/>
          <cell r="LG19"/>
          <cell r="LH19"/>
          <cell r="LI19"/>
          <cell r="LJ19"/>
          <cell r="LK19"/>
          <cell r="LL19"/>
          <cell r="LM19"/>
          <cell r="LN19"/>
          <cell r="LO19"/>
        </row>
        <row r="20">
          <cell r="A20" t="str">
            <v>6C2</v>
          </cell>
          <cell r="B20" t="str">
            <v>20</v>
          </cell>
          <cell r="C20" t="str">
            <v>NAF 17</v>
          </cell>
          <cell r="D20" t="str">
            <v>C2</v>
          </cell>
          <cell r="E20" t="str">
            <v>6</v>
          </cell>
          <cell r="F20">
            <v>0</v>
          </cell>
          <cell r="G20" t="str">
            <v>nd</v>
          </cell>
          <cell r="H20" t="str">
            <v>nd</v>
          </cell>
          <cell r="I20">
            <v>0</v>
          </cell>
          <cell r="J20">
            <v>0</v>
          </cell>
          <cell r="K20" t="str">
            <v>nd</v>
          </cell>
          <cell r="L20">
            <v>0</v>
          </cell>
          <cell r="M20">
            <v>0</v>
          </cell>
          <cell r="N20">
            <v>0</v>
          </cell>
          <cell r="O20" t="str">
            <v>nd</v>
          </cell>
          <cell r="P20">
            <v>0</v>
          </cell>
          <cell r="Q20">
            <v>0</v>
          </cell>
          <cell r="R20">
            <v>0</v>
          </cell>
          <cell r="S20">
            <v>0</v>
          </cell>
          <cell r="T20" t="str">
            <v>nd</v>
          </cell>
          <cell r="U20">
            <v>0</v>
          </cell>
          <cell r="V20">
            <v>0</v>
          </cell>
          <cell r="W20">
            <v>0</v>
          </cell>
          <cell r="X20" t="str">
            <v>nd</v>
          </cell>
          <cell r="Y20">
            <v>0</v>
          </cell>
          <cell r="Z20">
            <v>0</v>
          </cell>
          <cell r="AA20">
            <v>0</v>
          </cell>
          <cell r="AB20">
            <v>0</v>
          </cell>
          <cell r="AC20">
            <v>0</v>
          </cell>
          <cell r="AD20">
            <v>0</v>
          </cell>
          <cell r="AE20" t="str">
            <v>nd</v>
          </cell>
          <cell r="AF20" t="str">
            <v>nd</v>
          </cell>
          <cell r="AG20" t="str">
            <v>nd</v>
          </cell>
          <cell r="AH20">
            <v>0</v>
          </cell>
          <cell r="AI20" t="str">
            <v>nd</v>
          </cell>
          <cell r="AJ20">
            <v>0</v>
          </cell>
          <cell r="AK20">
            <v>0</v>
          </cell>
          <cell r="AL20">
            <v>0</v>
          </cell>
          <cell r="AM20">
            <v>0</v>
          </cell>
          <cell r="AN20">
            <v>0</v>
          </cell>
          <cell r="AO20">
            <v>0</v>
          </cell>
          <cell r="AP20">
            <v>0</v>
          </cell>
          <cell r="AQ20" t="str">
            <v>nd</v>
          </cell>
          <cell r="AR20">
            <v>0</v>
          </cell>
          <cell r="AS20">
            <v>0</v>
          </cell>
          <cell r="AT20" t="str">
            <v>nd</v>
          </cell>
          <cell r="AU20">
            <v>0</v>
          </cell>
          <cell r="AV20">
            <v>0</v>
          </cell>
          <cell r="AW20">
            <v>0</v>
          </cell>
          <cell r="AX20">
            <v>0</v>
          </cell>
          <cell r="AY20">
            <v>0</v>
          </cell>
          <cell r="AZ20">
            <v>0</v>
          </cell>
          <cell r="BA20">
            <v>0</v>
          </cell>
          <cell r="BB20" t="str">
            <v>nd</v>
          </cell>
          <cell r="BC20">
            <v>0</v>
          </cell>
          <cell r="BD20">
            <v>0</v>
          </cell>
          <cell r="BE20">
            <v>0</v>
          </cell>
          <cell r="BF20">
            <v>0</v>
          </cell>
          <cell r="BG20">
            <v>0</v>
          </cell>
          <cell r="BH20">
            <v>0</v>
          </cell>
          <cell r="BI20">
            <v>0</v>
          </cell>
          <cell r="BJ20" t="str">
            <v>nd</v>
          </cell>
          <cell r="BK20">
            <v>0</v>
          </cell>
          <cell r="BL20">
            <v>0</v>
          </cell>
          <cell r="BM20">
            <v>0</v>
          </cell>
          <cell r="BN20" t="str">
            <v>nd</v>
          </cell>
          <cell r="BO20" t="str">
            <v>nd</v>
          </cell>
          <cell r="BP20">
            <v>0</v>
          </cell>
          <cell r="BQ20">
            <v>0</v>
          </cell>
          <cell r="BR20">
            <v>0</v>
          </cell>
          <cell r="BS20">
            <v>0</v>
          </cell>
          <cell r="BT20">
            <v>0</v>
          </cell>
          <cell r="BU20" t="str">
            <v>nd</v>
          </cell>
          <cell r="BV20">
            <v>0</v>
          </cell>
          <cell r="BW20">
            <v>0</v>
          </cell>
          <cell r="BX20">
            <v>0</v>
          </cell>
          <cell r="BY20">
            <v>0</v>
          </cell>
          <cell r="BZ20">
            <v>0</v>
          </cell>
          <cell r="CA20">
            <v>0</v>
          </cell>
          <cell r="CB20" t="str">
            <v>nd</v>
          </cell>
          <cell r="CC20">
            <v>0</v>
          </cell>
          <cell r="CD20" t="str">
            <v>nd</v>
          </cell>
          <cell r="CE20">
            <v>0</v>
          </cell>
          <cell r="CF20">
            <v>0</v>
          </cell>
          <cell r="CG20">
            <v>0</v>
          </cell>
          <cell r="CH20">
            <v>0</v>
          </cell>
          <cell r="CI20" t="str">
            <v>nd</v>
          </cell>
          <cell r="CJ20" t="str">
            <v>nd</v>
          </cell>
          <cell r="CK20" t="str">
            <v>nd</v>
          </cell>
          <cell r="CL20">
            <v>0</v>
          </cell>
          <cell r="CM20" t="str">
            <v>nd</v>
          </cell>
          <cell r="CN20">
            <v>0</v>
          </cell>
          <cell r="CO20">
            <v>0</v>
          </cell>
          <cell r="CP20">
            <v>0</v>
          </cell>
          <cell r="CQ20" t="str">
            <v>nd</v>
          </cell>
          <cell r="CR20">
            <v>0</v>
          </cell>
          <cell r="CS20">
            <v>0</v>
          </cell>
          <cell r="CT20">
            <v>0</v>
          </cell>
          <cell r="CU20" t="str">
            <v>nd</v>
          </cell>
          <cell r="CV20">
            <v>0</v>
          </cell>
          <cell r="CW20" t="str">
            <v>nd</v>
          </cell>
          <cell r="CX20">
            <v>0</v>
          </cell>
          <cell r="CY20" t="str">
            <v>nd</v>
          </cell>
          <cell r="CZ20" t="str">
            <v>nd</v>
          </cell>
          <cell r="DA20">
            <v>0</v>
          </cell>
          <cell r="DB20">
            <v>0</v>
          </cell>
          <cell r="DC20">
            <v>0</v>
          </cell>
          <cell r="DD20">
            <v>0</v>
          </cell>
          <cell r="DE20">
            <v>0</v>
          </cell>
          <cell r="DF20">
            <v>0</v>
          </cell>
          <cell r="DG20">
            <v>0</v>
          </cell>
          <cell r="DH20">
            <v>0</v>
          </cell>
          <cell r="DI20" t="str">
            <v>nd</v>
          </cell>
          <cell r="DJ20" t="str">
            <v>nd</v>
          </cell>
          <cell r="DK20">
            <v>0</v>
          </cell>
          <cell r="DL20">
            <v>0</v>
          </cell>
          <cell r="DM20">
            <v>0</v>
          </cell>
          <cell r="DN20" t="str">
            <v>nd</v>
          </cell>
          <cell r="DO20" t="str">
            <v>nd</v>
          </cell>
          <cell r="DP20" t="str">
            <v>nd</v>
          </cell>
          <cell r="DQ20" t="str">
            <v>nd</v>
          </cell>
          <cell r="DR20">
            <v>0</v>
          </cell>
          <cell r="DS20" t="str">
            <v>nd</v>
          </cell>
          <cell r="DT20">
            <v>0</v>
          </cell>
          <cell r="DU20">
            <v>0</v>
          </cell>
          <cell r="DV20">
            <v>0</v>
          </cell>
          <cell r="DW20">
            <v>0</v>
          </cell>
          <cell r="DX20">
            <v>0</v>
          </cell>
          <cell r="DY20">
            <v>0</v>
          </cell>
          <cell r="DZ20">
            <v>0</v>
          </cell>
          <cell r="EA20" t="str">
            <v>nd</v>
          </cell>
          <cell r="EB20">
            <v>0</v>
          </cell>
          <cell r="EC20">
            <v>0</v>
          </cell>
          <cell r="ED20">
            <v>0</v>
          </cell>
          <cell r="EE20">
            <v>0</v>
          </cell>
          <cell r="EF20">
            <v>0</v>
          </cell>
          <cell r="EG20" t="str">
            <v>nd</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t="str">
            <v>nd</v>
          </cell>
          <cell r="FG20">
            <v>0</v>
          </cell>
          <cell r="FH20">
            <v>0</v>
          </cell>
          <cell r="FI20">
            <v>0</v>
          </cell>
          <cell r="FJ20">
            <v>0</v>
          </cell>
          <cell r="FK20">
            <v>0</v>
          </cell>
          <cell r="FL20" t="str">
            <v>nd</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t="str">
            <v>nd</v>
          </cell>
          <cell r="GL20">
            <v>0</v>
          </cell>
          <cell r="GM20">
            <v>0</v>
          </cell>
          <cell r="GN20">
            <v>0</v>
          </cell>
          <cell r="GO20">
            <v>0</v>
          </cell>
          <cell r="GP20">
            <v>0</v>
          </cell>
          <cell r="GQ20" t="str">
            <v>nd</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t="str">
            <v>nd</v>
          </cell>
          <cell r="HM20">
            <v>0</v>
          </cell>
          <cell r="HN20">
            <v>0</v>
          </cell>
          <cell r="HO20">
            <v>0</v>
          </cell>
          <cell r="HP20">
            <v>0</v>
          </cell>
          <cell r="HQ20">
            <v>0</v>
          </cell>
          <cell r="HR20">
            <v>0</v>
          </cell>
          <cell r="HS20" t="str">
            <v>nd</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t="str">
            <v>nd</v>
          </cell>
          <cell r="IQ20">
            <v>0</v>
          </cell>
          <cell r="IR20">
            <v>0</v>
          </cell>
          <cell r="IS20">
            <v>0</v>
          </cell>
          <cell r="IT20">
            <v>0</v>
          </cell>
          <cell r="IU20">
            <v>0</v>
          </cell>
          <cell r="IV20" t="str">
            <v>nd</v>
          </cell>
          <cell r="IW20">
            <v>0</v>
          </cell>
          <cell r="IX20">
            <v>0</v>
          </cell>
          <cell r="IY20">
            <v>0</v>
          </cell>
          <cell r="IZ20">
            <v>0</v>
          </cell>
          <cell r="JA20">
            <v>0</v>
          </cell>
          <cell r="JB20">
            <v>0</v>
          </cell>
          <cell r="JC20">
            <v>0</v>
          </cell>
          <cell r="JD20">
            <v>0</v>
          </cell>
          <cell r="JE20">
            <v>0</v>
          </cell>
          <cell r="JF20">
            <v>0</v>
          </cell>
          <cell r="JG20">
            <v>0</v>
          </cell>
          <cell r="JH20">
            <v>0</v>
          </cell>
          <cell r="JI20">
            <v>0</v>
          </cell>
          <cell r="JJ20">
            <v>0</v>
          </cell>
          <cell r="JK20">
            <v>0</v>
          </cell>
          <cell r="JL20">
            <v>0</v>
          </cell>
          <cell r="JM20">
            <v>0</v>
          </cell>
          <cell r="JN20">
            <v>0</v>
          </cell>
          <cell r="JO20">
            <v>0</v>
          </cell>
          <cell r="JP20">
            <v>0</v>
          </cell>
          <cell r="JQ20">
            <v>0</v>
          </cell>
          <cell r="JR20">
            <v>0</v>
          </cell>
          <cell r="JS20">
            <v>0</v>
          </cell>
          <cell r="JT20" t="str">
            <v>nd</v>
          </cell>
          <cell r="JU20">
            <v>0</v>
          </cell>
          <cell r="JV20">
            <v>0</v>
          </cell>
          <cell r="JW20">
            <v>0</v>
          </cell>
          <cell r="JX20">
            <v>0</v>
          </cell>
          <cell r="JY20">
            <v>0</v>
          </cell>
          <cell r="JZ20" t="str">
            <v>nd</v>
          </cell>
          <cell r="KA20">
            <v>0</v>
          </cell>
          <cell r="KB20">
            <v>0</v>
          </cell>
          <cell r="KC20">
            <v>0</v>
          </cell>
          <cell r="KD20">
            <v>0</v>
          </cell>
          <cell r="KE20">
            <v>0</v>
          </cell>
          <cell r="KF20">
            <v>0</v>
          </cell>
          <cell r="KG20">
            <v>0</v>
          </cell>
          <cell r="KH20">
            <v>0</v>
          </cell>
          <cell r="KI20">
            <v>0</v>
          </cell>
          <cell r="KJ20">
            <v>0</v>
          </cell>
          <cell r="KK20">
            <v>0</v>
          </cell>
          <cell r="KL20">
            <v>0</v>
          </cell>
          <cell r="KM20" t="str">
            <v>nd</v>
          </cell>
          <cell r="KN20" t="str">
            <v>nd</v>
          </cell>
          <cell r="KO20" t="str">
            <v>nd</v>
          </cell>
          <cell r="KP20" t="str">
            <v>nd</v>
          </cell>
          <cell r="KQ20" t="str">
            <v>nd</v>
          </cell>
          <cell r="KR20" t="str">
            <v>nd</v>
          </cell>
          <cell r="KS20" t="str">
            <v>nd</v>
          </cell>
          <cell r="KT20" t="str">
            <v>nd</v>
          </cell>
          <cell r="KU20" t="str">
            <v>nd</v>
          </cell>
          <cell r="KV20" t="str">
            <v>nd</v>
          </cell>
          <cell r="KW20" t="str">
            <v>nd</v>
          </cell>
          <cell r="KX20" t="str">
            <v>nd</v>
          </cell>
          <cell r="KY20"/>
          <cell r="KZ20"/>
          <cell r="LA20"/>
          <cell r="LB20"/>
          <cell r="LC20"/>
          <cell r="LD20"/>
          <cell r="LE20"/>
          <cell r="LF20"/>
          <cell r="LG20"/>
          <cell r="LH20"/>
          <cell r="LI20"/>
          <cell r="LJ20"/>
          <cell r="LK20"/>
          <cell r="LL20"/>
          <cell r="LM20"/>
          <cell r="LN20"/>
          <cell r="LO20"/>
        </row>
        <row r="21">
          <cell r="A21" t="str">
            <v>EnsC3</v>
          </cell>
          <cell r="B21" t="str">
            <v>21</v>
          </cell>
          <cell r="C21" t="str">
            <v>NAF 17</v>
          </cell>
          <cell r="D21" t="str">
            <v>C3</v>
          </cell>
          <cell r="E21" t="str">
            <v/>
          </cell>
          <cell r="F21" t="str">
            <v>nd</v>
          </cell>
          <cell r="G21">
            <v>11.3</v>
          </cell>
          <cell r="H21">
            <v>41</v>
          </cell>
          <cell r="I21">
            <v>40.699999999999996</v>
          </cell>
          <cell r="J21">
            <v>6.9</v>
          </cell>
          <cell r="K21">
            <v>73.2</v>
          </cell>
          <cell r="L21">
            <v>3.6999999999999997</v>
          </cell>
          <cell r="M21">
            <v>17.299999999999997</v>
          </cell>
          <cell r="N21">
            <v>5.8000000000000007</v>
          </cell>
          <cell r="O21">
            <v>31.3</v>
          </cell>
          <cell r="P21">
            <v>29.599999999999998</v>
          </cell>
          <cell r="Q21">
            <v>32.5</v>
          </cell>
          <cell r="R21">
            <v>10.199999999999999</v>
          </cell>
          <cell r="S21">
            <v>7.5</v>
          </cell>
          <cell r="T21">
            <v>43.1</v>
          </cell>
          <cell r="U21">
            <v>1.6</v>
          </cell>
          <cell r="V21">
            <v>16.600000000000001</v>
          </cell>
          <cell r="W21">
            <v>16.100000000000001</v>
          </cell>
          <cell r="X21">
            <v>81.699999999999989</v>
          </cell>
          <cell r="Y21">
            <v>2.1999999999999997</v>
          </cell>
          <cell r="Z21">
            <v>8.4</v>
          </cell>
          <cell r="AA21">
            <v>47.599999999999994</v>
          </cell>
          <cell r="AB21">
            <v>7.7</v>
          </cell>
          <cell r="AC21">
            <v>62.2</v>
          </cell>
          <cell r="AD21">
            <v>23.799999999999997</v>
          </cell>
          <cell r="AE21">
            <v>73</v>
          </cell>
          <cell r="AF21">
            <v>27</v>
          </cell>
          <cell r="AG21">
            <v>83.8</v>
          </cell>
          <cell r="AH21">
            <v>16.2</v>
          </cell>
          <cell r="AI21">
            <v>47.8</v>
          </cell>
          <cell r="AJ21">
            <v>2.1999999999999997</v>
          </cell>
          <cell r="AK21">
            <v>2.6</v>
          </cell>
          <cell r="AL21">
            <v>33.900000000000006</v>
          </cell>
          <cell r="AM21">
            <v>13.5</v>
          </cell>
          <cell r="AN21">
            <v>13.600000000000001</v>
          </cell>
          <cell r="AO21">
            <v>8.4</v>
          </cell>
          <cell r="AP21">
            <v>5.8999999999999995</v>
          </cell>
          <cell r="AQ21">
            <v>60.9</v>
          </cell>
          <cell r="AR21">
            <v>11.3</v>
          </cell>
          <cell r="AS21">
            <v>41.5</v>
          </cell>
          <cell r="AT21">
            <v>28.7</v>
          </cell>
          <cell r="AU21">
            <v>15.299999999999999</v>
          </cell>
          <cell r="AV21">
            <v>5.7</v>
          </cell>
          <cell r="AW21">
            <v>6</v>
          </cell>
          <cell r="AX21">
            <v>2.8000000000000003</v>
          </cell>
          <cell r="AY21">
            <v>6.2</v>
          </cell>
          <cell r="AZ21">
            <v>8.7999999999999989</v>
          </cell>
          <cell r="BA21">
            <v>18.3</v>
          </cell>
          <cell r="BB21">
            <v>23.599999999999998</v>
          </cell>
          <cell r="BC21">
            <v>30.5</v>
          </cell>
          <cell r="BD21">
            <v>12.5</v>
          </cell>
          <cell r="BE21" t="str">
            <v>nd</v>
          </cell>
          <cell r="BF21">
            <v>0.70000000000000007</v>
          </cell>
          <cell r="BG21">
            <v>2.2999999999999998</v>
          </cell>
          <cell r="BH21">
            <v>5.4</v>
          </cell>
          <cell r="BI21">
            <v>48.4</v>
          </cell>
          <cell r="BJ21">
            <v>43</v>
          </cell>
          <cell r="BK21">
            <v>0</v>
          </cell>
          <cell r="BL21">
            <v>0</v>
          </cell>
          <cell r="BM21" t="str">
            <v>nd</v>
          </cell>
          <cell r="BN21">
            <v>6</v>
          </cell>
          <cell r="BO21">
            <v>86.3</v>
          </cell>
          <cell r="BP21">
            <v>7.5</v>
          </cell>
          <cell r="BQ21">
            <v>0</v>
          </cell>
          <cell r="BR21" t="str">
            <v>nd</v>
          </cell>
          <cell r="BS21" t="str">
            <v>nd</v>
          </cell>
          <cell r="BT21">
            <v>9.1999999999999993</v>
          </cell>
          <cell r="BU21">
            <v>72.899999999999991</v>
          </cell>
          <cell r="BV21">
            <v>17.5</v>
          </cell>
          <cell r="BW21">
            <v>0</v>
          </cell>
          <cell r="BX21">
            <v>0</v>
          </cell>
          <cell r="BY21">
            <v>0</v>
          </cell>
          <cell r="BZ21">
            <v>0</v>
          </cell>
          <cell r="CA21" t="str">
            <v>nd</v>
          </cell>
          <cell r="CB21">
            <v>97.3</v>
          </cell>
          <cell r="CC21">
            <v>13.200000000000001</v>
          </cell>
          <cell r="CD21">
            <v>19.8</v>
          </cell>
          <cell r="CE21">
            <v>0.3</v>
          </cell>
          <cell r="CF21">
            <v>0.6</v>
          </cell>
          <cell r="CG21">
            <v>2.1999999999999997</v>
          </cell>
          <cell r="CH21">
            <v>20</v>
          </cell>
          <cell r="CI21">
            <v>9.5</v>
          </cell>
          <cell r="CJ21">
            <v>56.899999999999991</v>
          </cell>
          <cell r="CK21">
            <v>46.7</v>
          </cell>
          <cell r="CL21">
            <v>10.7</v>
          </cell>
          <cell r="CM21">
            <v>2.1</v>
          </cell>
          <cell r="CN21">
            <v>0.3</v>
          </cell>
          <cell r="CO21">
            <v>47.8</v>
          </cell>
          <cell r="CP21">
            <v>18.399999999999999</v>
          </cell>
          <cell r="CQ21">
            <v>35.299999999999997</v>
          </cell>
          <cell r="CR21">
            <v>16.600000000000001</v>
          </cell>
          <cell r="CS21">
            <v>29.7</v>
          </cell>
          <cell r="CT21">
            <v>13.600000000000001</v>
          </cell>
          <cell r="CU21">
            <v>86.4</v>
          </cell>
          <cell r="CV21">
            <v>11.700000000000001</v>
          </cell>
          <cell r="CW21">
            <v>88.3</v>
          </cell>
          <cell r="CX21">
            <v>20.5</v>
          </cell>
          <cell r="CY21">
            <v>35.799999999999997</v>
          </cell>
          <cell r="CZ21">
            <v>43.7</v>
          </cell>
          <cell r="DA21">
            <v>27.900000000000002</v>
          </cell>
          <cell r="DB21" t="str">
            <v>nd</v>
          </cell>
          <cell r="DC21">
            <v>15.299999999999999</v>
          </cell>
          <cell r="DD21" t="str">
            <v>nd</v>
          </cell>
          <cell r="DE21">
            <v>54.2</v>
          </cell>
          <cell r="DF21">
            <v>13.100000000000001</v>
          </cell>
          <cell r="DG21">
            <v>5.2</v>
          </cell>
          <cell r="DH21">
            <v>9.1999999999999993</v>
          </cell>
          <cell r="DI21">
            <v>22.8</v>
          </cell>
          <cell r="DJ21">
            <v>29.2</v>
          </cell>
          <cell r="DK21">
            <v>20.399999999999999</v>
          </cell>
          <cell r="DL21">
            <v>15.2</v>
          </cell>
          <cell r="DM21">
            <v>53.800000000000004</v>
          </cell>
          <cell r="DN21">
            <v>2.9000000000000004</v>
          </cell>
          <cell r="DO21">
            <v>18.3</v>
          </cell>
          <cell r="DP21">
            <v>5.8000000000000007</v>
          </cell>
          <cell r="DQ21">
            <v>5.7</v>
          </cell>
          <cell r="DR21">
            <v>24.8</v>
          </cell>
          <cell r="DS21">
            <v>14.2</v>
          </cell>
          <cell r="DT21">
            <v>14.799999999999999</v>
          </cell>
          <cell r="DU21">
            <v>0</v>
          </cell>
          <cell r="DV21">
            <v>0</v>
          </cell>
          <cell r="DW21">
            <v>0</v>
          </cell>
          <cell r="DX21">
            <v>0</v>
          </cell>
          <cell r="DY21">
            <v>0</v>
          </cell>
          <cell r="DZ21">
            <v>1.40011</v>
          </cell>
          <cell r="EA21">
            <v>4.9932299999999996</v>
          </cell>
          <cell r="EB21">
            <v>1.6842300000000001</v>
          </cell>
          <cell r="EC21">
            <v>0.87316000000000005</v>
          </cell>
          <cell r="ED21" t="str">
            <v>nd</v>
          </cell>
          <cell r="EE21" t="str">
            <v>nd</v>
          </cell>
          <cell r="EF21">
            <v>14.8603761</v>
          </cell>
          <cell r="EG21">
            <v>14.2438067</v>
          </cell>
          <cell r="EH21">
            <v>6.1645400000000006</v>
          </cell>
          <cell r="EI21">
            <v>2.2379699999999998</v>
          </cell>
          <cell r="EJ21">
            <v>2.45059</v>
          </cell>
          <cell r="EK21">
            <v>1.1463599999999998</v>
          </cell>
          <cell r="EL21">
            <v>21.3132454</v>
          </cell>
          <cell r="EM21">
            <v>6.9355720999999999</v>
          </cell>
          <cell r="EN21">
            <v>7.3257015999999995</v>
          </cell>
          <cell r="EO21">
            <v>2.51315</v>
          </cell>
          <cell r="EP21">
            <v>1.5453700000000001</v>
          </cell>
          <cell r="EQ21">
            <v>1.2947200000000001</v>
          </cell>
          <cell r="ER21">
            <v>4.14682</v>
          </cell>
          <cell r="ES21">
            <v>2.2330099999999997</v>
          </cell>
          <cell r="ET21" t="str">
            <v>nd</v>
          </cell>
          <cell r="EU21" t="str">
            <v>nd</v>
          </cell>
          <cell r="EV21" t="str">
            <v>nd</v>
          </cell>
          <cell r="EW21">
            <v>0</v>
          </cell>
          <cell r="EX21">
            <v>0</v>
          </cell>
          <cell r="EY21">
            <v>0</v>
          </cell>
          <cell r="EZ21">
            <v>0</v>
          </cell>
          <cell r="FA21">
            <v>0</v>
          </cell>
          <cell r="FB21">
            <v>0</v>
          </cell>
          <cell r="FC21" t="str">
            <v>nd</v>
          </cell>
          <cell r="FD21">
            <v>0.49813899999999994</v>
          </cell>
          <cell r="FE21">
            <v>3.03328</v>
          </cell>
          <cell r="FF21">
            <v>3.5748700000000002</v>
          </cell>
          <cell r="FG21">
            <v>1.57101</v>
          </cell>
          <cell r="FH21">
            <v>0.59387199999999996</v>
          </cell>
          <cell r="FI21">
            <v>2.9942600000000001</v>
          </cell>
          <cell r="FJ21">
            <v>5.57003</v>
          </cell>
          <cell r="FK21">
            <v>3.2674599999999998</v>
          </cell>
          <cell r="FL21">
            <v>10.776084900000001</v>
          </cell>
          <cell r="FM21">
            <v>15.276242100000001</v>
          </cell>
          <cell r="FN21">
            <v>3.1740300000000001</v>
          </cell>
          <cell r="FO21">
            <v>1.27068</v>
          </cell>
          <cell r="FP21">
            <v>2.3823500000000002</v>
          </cell>
          <cell r="FQ21">
            <v>10.5140531</v>
          </cell>
          <cell r="FR21">
            <v>8.367802600000001</v>
          </cell>
          <cell r="FS21">
            <v>11.697290300000001</v>
          </cell>
          <cell r="FT21">
            <v>6.7791293000000001</v>
          </cell>
          <cell r="FU21" t="str">
            <v>nd</v>
          </cell>
          <cell r="FV21" t="str">
            <v>nd</v>
          </cell>
          <cell r="FW21">
            <v>1.5227299999999999</v>
          </cell>
          <cell r="FX21">
            <v>0.84136</v>
          </cell>
          <cell r="FY21">
            <v>2.1909800000000001</v>
          </cell>
          <cell r="FZ21">
            <v>1.9830899999999998</v>
          </cell>
          <cell r="GA21">
            <v>0</v>
          </cell>
          <cell r="GB21">
            <v>0</v>
          </cell>
          <cell r="GC21">
            <v>0</v>
          </cell>
          <cell r="GD21">
            <v>0</v>
          </cell>
          <cell r="GE21">
            <v>0</v>
          </cell>
          <cell r="GF21">
            <v>0</v>
          </cell>
          <cell r="GG21">
            <v>0.36898300000000001</v>
          </cell>
          <cell r="GH21">
            <v>0.64968100000000006</v>
          </cell>
          <cell r="GI21">
            <v>1.12832</v>
          </cell>
          <cell r="GJ21">
            <v>3.7373499999999997</v>
          </cell>
          <cell r="GK21">
            <v>5.4102600000000001</v>
          </cell>
          <cell r="GL21" t="str">
            <v>nd</v>
          </cell>
          <cell r="GM21" t="str">
            <v>nd</v>
          </cell>
          <cell r="GN21">
            <v>0.81642999999999999</v>
          </cell>
          <cell r="GO21">
            <v>3.92537</v>
          </cell>
          <cell r="GP21">
            <v>20.4550725</v>
          </cell>
          <cell r="GQ21">
            <v>15.542742700000002</v>
          </cell>
          <cell r="GR21">
            <v>0</v>
          </cell>
          <cell r="GS21">
            <v>0</v>
          </cell>
          <cell r="GT21">
            <v>0.84051999999999993</v>
          </cell>
          <cell r="GU21" t="str">
            <v>nd</v>
          </cell>
          <cell r="GV21">
            <v>21.218762099999999</v>
          </cell>
          <cell r="GW21">
            <v>18.917225999999999</v>
          </cell>
          <cell r="GX21">
            <v>0</v>
          </cell>
          <cell r="GY21">
            <v>0</v>
          </cell>
          <cell r="GZ21">
            <v>0</v>
          </cell>
          <cell r="HA21" t="str">
            <v>nd</v>
          </cell>
          <cell r="HB21">
            <v>2.84233</v>
          </cell>
          <cell r="HC21">
            <v>3.2481000000000004</v>
          </cell>
          <cell r="HD21">
            <v>0</v>
          </cell>
          <cell r="HE21">
            <v>0</v>
          </cell>
          <cell r="HF21">
            <v>0</v>
          </cell>
          <cell r="HG21">
            <v>0</v>
          </cell>
          <cell r="HH21">
            <v>0</v>
          </cell>
          <cell r="HI21">
            <v>0</v>
          </cell>
          <cell r="HJ21">
            <v>0</v>
          </cell>
          <cell r="HK21">
            <v>0</v>
          </cell>
          <cell r="HL21" t="str">
            <v>nd</v>
          </cell>
          <cell r="HM21">
            <v>8.7695439999999998</v>
          </cell>
          <cell r="HN21">
            <v>0.70904400000000001</v>
          </cell>
          <cell r="HO21">
            <v>0</v>
          </cell>
          <cell r="HP21">
            <v>0</v>
          </cell>
          <cell r="HQ21" t="str">
            <v>nd</v>
          </cell>
          <cell r="HR21">
            <v>1.7961800000000001</v>
          </cell>
          <cell r="HS21">
            <v>37.039542900000001</v>
          </cell>
          <cell r="HT21">
            <v>2.1035000000000004</v>
          </cell>
          <cell r="HU21">
            <v>0</v>
          </cell>
          <cell r="HV21">
            <v>0</v>
          </cell>
          <cell r="HW21">
            <v>0</v>
          </cell>
          <cell r="HX21">
            <v>1.6471099999999999</v>
          </cell>
          <cell r="HY21">
            <v>36.1442525</v>
          </cell>
          <cell r="HZ21">
            <v>3.27603</v>
          </cell>
          <cell r="IA21">
            <v>0</v>
          </cell>
          <cell r="IB21">
            <v>0</v>
          </cell>
          <cell r="IC21" t="str">
            <v>nd</v>
          </cell>
          <cell r="ID21">
            <v>0.88552000000000008</v>
          </cell>
          <cell r="IE21">
            <v>4.3347100000000003</v>
          </cell>
          <cell r="IF21">
            <v>1.3771500000000001</v>
          </cell>
          <cell r="IG21">
            <v>0</v>
          </cell>
          <cell r="IH21">
            <v>0</v>
          </cell>
          <cell r="II21">
            <v>0</v>
          </cell>
          <cell r="IJ21">
            <v>0</v>
          </cell>
          <cell r="IK21">
            <v>0</v>
          </cell>
          <cell r="IL21">
            <v>0</v>
          </cell>
          <cell r="IM21">
            <v>0</v>
          </cell>
          <cell r="IN21">
            <v>0</v>
          </cell>
          <cell r="IO21">
            <v>1.1719600000000001</v>
          </cell>
          <cell r="IP21">
            <v>5.3974299999999999</v>
          </cell>
          <cell r="IQ21">
            <v>1.2911600000000001</v>
          </cell>
          <cell r="IR21">
            <v>0</v>
          </cell>
          <cell r="IS21">
            <v>0</v>
          </cell>
          <cell r="IT21" t="str">
            <v>nd</v>
          </cell>
          <cell r="IU21">
            <v>4.7683999999999997</v>
          </cell>
          <cell r="IV21">
            <v>30.9109646</v>
          </cell>
          <cell r="IW21">
            <v>6.4247972000000004</v>
          </cell>
          <cell r="IX21">
            <v>0</v>
          </cell>
          <cell r="IY21" t="str">
            <v>nd</v>
          </cell>
          <cell r="IZ21" t="str">
            <v>nd</v>
          </cell>
          <cell r="JA21">
            <v>2.3192300000000001</v>
          </cell>
          <cell r="JB21">
            <v>33.0151872</v>
          </cell>
          <cell r="JC21">
            <v>7.4900047999999995</v>
          </cell>
          <cell r="JD21">
            <v>0</v>
          </cell>
          <cell r="JE21">
            <v>0</v>
          </cell>
          <cell r="JF21">
            <v>0</v>
          </cell>
          <cell r="JG21">
            <v>0.70365699999999998</v>
          </cell>
          <cell r="JH21">
            <v>3.79155</v>
          </cell>
          <cell r="JI21">
            <v>2.3580899999999998</v>
          </cell>
          <cell r="JJ21">
            <v>0</v>
          </cell>
          <cell r="JK21">
            <v>0</v>
          </cell>
          <cell r="JL21">
            <v>0</v>
          </cell>
          <cell r="JM21">
            <v>0</v>
          </cell>
          <cell r="JN21">
            <v>0</v>
          </cell>
          <cell r="JO21">
            <v>0</v>
          </cell>
          <cell r="JP21">
            <v>0</v>
          </cell>
          <cell r="JQ21">
            <v>0</v>
          </cell>
          <cell r="JR21">
            <v>0</v>
          </cell>
          <cell r="JS21" t="str">
            <v>nd</v>
          </cell>
          <cell r="JT21">
            <v>7.8349897000000004</v>
          </cell>
          <cell r="JU21">
            <v>0</v>
          </cell>
          <cell r="JV21">
            <v>0</v>
          </cell>
          <cell r="JW21">
            <v>0</v>
          </cell>
          <cell r="JX21">
            <v>0</v>
          </cell>
          <cell r="JY21">
            <v>0</v>
          </cell>
          <cell r="JZ21">
            <v>40.857480699999996</v>
          </cell>
          <cell r="KA21">
            <v>0</v>
          </cell>
          <cell r="KB21">
            <v>0</v>
          </cell>
          <cell r="KC21">
            <v>0</v>
          </cell>
          <cell r="KD21">
            <v>0</v>
          </cell>
          <cell r="KE21" t="str">
            <v>nd</v>
          </cell>
          <cell r="KF21">
            <v>41.7543814</v>
          </cell>
          <cell r="KG21">
            <v>0</v>
          </cell>
          <cell r="KH21">
            <v>0</v>
          </cell>
          <cell r="KI21">
            <v>0</v>
          </cell>
          <cell r="KJ21">
            <v>0</v>
          </cell>
          <cell r="KK21">
            <v>0</v>
          </cell>
          <cell r="KL21">
            <v>6.8443879000000001</v>
          </cell>
          <cell r="KM21">
            <v>60.6</v>
          </cell>
          <cell r="KN21">
            <v>23.1</v>
          </cell>
          <cell r="KO21">
            <v>4.9000000000000004</v>
          </cell>
          <cell r="KP21">
            <v>6</v>
          </cell>
          <cell r="KQ21">
            <v>5.3</v>
          </cell>
          <cell r="KR21">
            <v>0.1</v>
          </cell>
          <cell r="KS21">
            <v>58.9</v>
          </cell>
          <cell r="KT21">
            <v>23.799999999999997</v>
          </cell>
          <cell r="KU21">
            <v>5.0999999999999996</v>
          </cell>
          <cell r="KV21">
            <v>6.3</v>
          </cell>
          <cell r="KW21">
            <v>5.8000000000000007</v>
          </cell>
          <cell r="KX21">
            <v>0.1</v>
          </cell>
          <cell r="KY21"/>
          <cell r="KZ21"/>
          <cell r="LA21"/>
          <cell r="LB21"/>
          <cell r="LC21"/>
          <cell r="LD21"/>
          <cell r="LE21"/>
          <cell r="LF21"/>
          <cell r="LG21"/>
          <cell r="LH21"/>
          <cell r="LI21"/>
          <cell r="LJ21"/>
          <cell r="LK21"/>
          <cell r="LL21"/>
          <cell r="LM21"/>
          <cell r="LN21"/>
          <cell r="LO21"/>
        </row>
        <row r="22">
          <cell r="A22" t="str">
            <v>1C3</v>
          </cell>
          <cell r="B22" t="str">
            <v>22</v>
          </cell>
          <cell r="C22" t="str">
            <v>NAF 17</v>
          </cell>
          <cell r="D22" t="str">
            <v>C3</v>
          </cell>
          <cell r="E22" t="str">
            <v>1</v>
          </cell>
          <cell r="F22">
            <v>0</v>
          </cell>
          <cell r="G22" t="str">
            <v>nd</v>
          </cell>
          <cell r="H22">
            <v>35.699999999999996</v>
          </cell>
          <cell r="I22">
            <v>48</v>
          </cell>
          <cell r="J22" t="str">
            <v>nd</v>
          </cell>
          <cell r="K22">
            <v>74.3</v>
          </cell>
          <cell r="L22">
            <v>10.299999999999999</v>
          </cell>
          <cell r="M22" t="str">
            <v>nd</v>
          </cell>
          <cell r="N22">
            <v>0</v>
          </cell>
          <cell r="O22">
            <v>15.1</v>
          </cell>
          <cell r="P22">
            <v>20.3</v>
          </cell>
          <cell r="Q22">
            <v>32</v>
          </cell>
          <cell r="R22">
            <v>0</v>
          </cell>
          <cell r="S22" t="str">
            <v>nd</v>
          </cell>
          <cell r="T22">
            <v>45.4</v>
          </cell>
          <cell r="U22" t="str">
            <v>nd</v>
          </cell>
          <cell r="V22" t="str">
            <v>nd</v>
          </cell>
          <cell r="W22" t="str">
            <v>nd</v>
          </cell>
          <cell r="X22">
            <v>97.1</v>
          </cell>
          <cell r="Y22">
            <v>0</v>
          </cell>
          <cell r="Z22">
            <v>0</v>
          </cell>
          <cell r="AA22">
            <v>0</v>
          </cell>
          <cell r="AB22" t="str">
            <v>nd</v>
          </cell>
          <cell r="AC22">
            <v>0</v>
          </cell>
          <cell r="AD22">
            <v>0</v>
          </cell>
          <cell r="AE22">
            <v>46</v>
          </cell>
          <cell r="AF22">
            <v>54</v>
          </cell>
          <cell r="AG22">
            <v>29.599999999999998</v>
          </cell>
          <cell r="AH22">
            <v>70.399999999999991</v>
          </cell>
          <cell r="AI22">
            <v>64.8</v>
          </cell>
          <cell r="AJ22">
            <v>0</v>
          </cell>
          <cell r="AK22" t="str">
            <v>nd</v>
          </cell>
          <cell r="AL22" t="str">
            <v>nd</v>
          </cell>
          <cell r="AM22" t="str">
            <v>nd</v>
          </cell>
          <cell r="AN22">
            <v>0</v>
          </cell>
          <cell r="AO22">
            <v>0</v>
          </cell>
          <cell r="AP22">
            <v>0</v>
          </cell>
          <cell r="AQ22">
            <v>100</v>
          </cell>
          <cell r="AR22">
            <v>0</v>
          </cell>
          <cell r="AS22">
            <v>62.3</v>
          </cell>
          <cell r="AT22" t="str">
            <v>nd</v>
          </cell>
          <cell r="AU22">
            <v>10.100000000000001</v>
          </cell>
          <cell r="AV22">
            <v>0</v>
          </cell>
          <cell r="AW22">
            <v>0</v>
          </cell>
          <cell r="AX22">
            <v>22.900000000000002</v>
          </cell>
          <cell r="AY22">
            <v>0</v>
          </cell>
          <cell r="AZ22">
            <v>0</v>
          </cell>
          <cell r="BA22" t="str">
            <v>nd</v>
          </cell>
          <cell r="BB22">
            <v>13.600000000000001</v>
          </cell>
          <cell r="BC22">
            <v>14.7</v>
          </cell>
          <cell r="BD22">
            <v>69.699999999999989</v>
          </cell>
          <cell r="BE22">
            <v>0</v>
          </cell>
          <cell r="BF22">
            <v>0</v>
          </cell>
          <cell r="BG22" t="str">
            <v>nd</v>
          </cell>
          <cell r="BH22" t="str">
            <v>nd</v>
          </cell>
          <cell r="BI22">
            <v>21.7</v>
          </cell>
          <cell r="BJ22">
            <v>65.7</v>
          </cell>
          <cell r="BK22">
            <v>0</v>
          </cell>
          <cell r="BL22">
            <v>0</v>
          </cell>
          <cell r="BM22" t="str">
            <v>nd</v>
          </cell>
          <cell r="BN22" t="str">
            <v>nd</v>
          </cell>
          <cell r="BO22">
            <v>66</v>
          </cell>
          <cell r="BP22">
            <v>29.299999999999997</v>
          </cell>
          <cell r="BQ22">
            <v>0</v>
          </cell>
          <cell r="BR22">
            <v>0</v>
          </cell>
          <cell r="BS22">
            <v>0</v>
          </cell>
          <cell r="BT22">
            <v>5.8999999999999995</v>
          </cell>
          <cell r="BU22">
            <v>34.799999999999997</v>
          </cell>
          <cell r="BV22">
            <v>59.4</v>
          </cell>
          <cell r="BW22">
            <v>0</v>
          </cell>
          <cell r="BX22">
            <v>0</v>
          </cell>
          <cell r="BY22">
            <v>0</v>
          </cell>
          <cell r="BZ22">
            <v>0</v>
          </cell>
          <cell r="CA22">
            <v>0</v>
          </cell>
          <cell r="CB22">
            <v>100</v>
          </cell>
          <cell r="CC22">
            <v>21.099999999999998</v>
          </cell>
          <cell r="CD22" t="str">
            <v>nd</v>
          </cell>
          <cell r="CE22">
            <v>0</v>
          </cell>
          <cell r="CF22" t="str">
            <v>nd</v>
          </cell>
          <cell r="CG22">
            <v>0</v>
          </cell>
          <cell r="CH22">
            <v>17.2</v>
          </cell>
          <cell r="CI22">
            <v>13.8</v>
          </cell>
          <cell r="CJ22">
            <v>63.7</v>
          </cell>
          <cell r="CK22">
            <v>29.7</v>
          </cell>
          <cell r="CL22">
            <v>0</v>
          </cell>
          <cell r="CM22">
            <v>0</v>
          </cell>
          <cell r="CN22">
            <v>0</v>
          </cell>
          <cell r="CO22">
            <v>71.7</v>
          </cell>
          <cell r="CP22">
            <v>33.700000000000003</v>
          </cell>
          <cell r="CQ22">
            <v>27.800000000000004</v>
          </cell>
          <cell r="CR22">
            <v>13.5</v>
          </cell>
          <cell r="CS22">
            <v>25</v>
          </cell>
          <cell r="CT22">
            <v>6.1</v>
          </cell>
          <cell r="CU22">
            <v>93.899999999999991</v>
          </cell>
          <cell r="CV22" t="str">
            <v>nd</v>
          </cell>
          <cell r="CW22">
            <v>97.899999999999991</v>
          </cell>
          <cell r="CX22">
            <v>9.5</v>
          </cell>
          <cell r="CY22">
            <v>40.799999999999997</v>
          </cell>
          <cell r="CZ22">
            <v>49.7</v>
          </cell>
          <cell r="DA22">
            <v>0</v>
          </cell>
          <cell r="DB22">
            <v>0</v>
          </cell>
          <cell r="DC22">
            <v>0</v>
          </cell>
          <cell r="DD22">
            <v>0</v>
          </cell>
          <cell r="DE22">
            <v>100</v>
          </cell>
          <cell r="DF22" t="str">
            <v>nd</v>
          </cell>
          <cell r="DG22">
            <v>18.2</v>
          </cell>
          <cell r="DH22">
            <v>19.400000000000002</v>
          </cell>
          <cell r="DI22">
            <v>15.4</v>
          </cell>
          <cell r="DJ22" t="str">
            <v>nd</v>
          </cell>
          <cell r="DK22">
            <v>30.5</v>
          </cell>
          <cell r="DL22">
            <v>49</v>
          </cell>
          <cell r="DM22">
            <v>36.4</v>
          </cell>
          <cell r="DN22">
            <v>0</v>
          </cell>
          <cell r="DO22">
            <v>12</v>
          </cell>
          <cell r="DP22">
            <v>0</v>
          </cell>
          <cell r="DQ22">
            <v>0</v>
          </cell>
          <cell r="DR22">
            <v>4.8</v>
          </cell>
          <cell r="DS22" t="str">
            <v>nd</v>
          </cell>
          <cell r="DT22">
            <v>4.3999999999999995</v>
          </cell>
          <cell r="DU22">
            <v>0</v>
          </cell>
          <cell r="DV22">
            <v>0</v>
          </cell>
          <cell r="DW22">
            <v>0</v>
          </cell>
          <cell r="DX22">
            <v>0</v>
          </cell>
          <cell r="DY22">
            <v>0</v>
          </cell>
          <cell r="DZ22">
            <v>0</v>
          </cell>
          <cell r="EA22">
            <v>0</v>
          </cell>
          <cell r="EB22" t="str">
            <v>nd</v>
          </cell>
          <cell r="EC22">
            <v>0</v>
          </cell>
          <cell r="ED22">
            <v>0</v>
          </cell>
          <cell r="EE22" t="str">
            <v>nd</v>
          </cell>
          <cell r="EF22">
            <v>15.9092936</v>
          </cell>
          <cell r="EG22" t="str">
            <v>nd</v>
          </cell>
          <cell r="EH22" t="str">
            <v>nd</v>
          </cell>
          <cell r="EI22">
            <v>0</v>
          </cell>
          <cell r="EJ22">
            <v>0</v>
          </cell>
          <cell r="EK22">
            <v>7.1748881000000004</v>
          </cell>
          <cell r="EL22">
            <v>41.859829599999998</v>
          </cell>
          <cell r="EM22">
            <v>0</v>
          </cell>
          <cell r="EN22">
            <v>0</v>
          </cell>
          <cell r="EO22">
            <v>0</v>
          </cell>
          <cell r="EP22">
            <v>0</v>
          </cell>
          <cell r="EQ22" t="str">
            <v>nd</v>
          </cell>
          <cell r="ER22" t="str">
            <v>nd</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t="str">
            <v>nd</v>
          </cell>
          <cell r="FI22">
            <v>0</v>
          </cell>
          <cell r="FJ22">
            <v>0</v>
          </cell>
          <cell r="FK22" t="str">
            <v>nd</v>
          </cell>
          <cell r="FL22">
            <v>11.391781199999999</v>
          </cell>
          <cell r="FM22">
            <v>8.1005023999999999</v>
          </cell>
          <cell r="FN22">
            <v>12.886675</v>
          </cell>
          <cell r="FO22">
            <v>0</v>
          </cell>
          <cell r="FP22">
            <v>0</v>
          </cell>
          <cell r="FQ22">
            <v>0</v>
          </cell>
          <cell r="FR22">
            <v>0</v>
          </cell>
          <cell r="FS22" t="str">
            <v>nd</v>
          </cell>
          <cell r="FT22">
            <v>42.649623800000001</v>
          </cell>
          <cell r="FU22">
            <v>0</v>
          </cell>
          <cell r="FV22">
            <v>0</v>
          </cell>
          <cell r="FW22">
            <v>0</v>
          </cell>
          <cell r="FX22" t="str">
            <v>nd</v>
          </cell>
          <cell r="FY22">
            <v>0</v>
          </cell>
          <cell r="FZ22" t="str">
            <v>nd</v>
          </cell>
          <cell r="GA22">
            <v>0</v>
          </cell>
          <cell r="GB22">
            <v>0</v>
          </cell>
          <cell r="GC22">
            <v>0</v>
          </cell>
          <cell r="GD22">
            <v>0</v>
          </cell>
          <cell r="GE22">
            <v>0</v>
          </cell>
          <cell r="GF22">
            <v>0</v>
          </cell>
          <cell r="GG22">
            <v>0</v>
          </cell>
          <cell r="GH22">
            <v>0</v>
          </cell>
          <cell r="GI22" t="str">
            <v>nd</v>
          </cell>
          <cell r="GJ22">
            <v>0</v>
          </cell>
          <cell r="GK22" t="str">
            <v>nd</v>
          </cell>
          <cell r="GL22">
            <v>0</v>
          </cell>
          <cell r="GM22">
            <v>0</v>
          </cell>
          <cell r="GN22" t="str">
            <v>nd</v>
          </cell>
          <cell r="GO22">
            <v>0</v>
          </cell>
          <cell r="GP22">
            <v>10.362307299999999</v>
          </cell>
          <cell r="GQ22">
            <v>19.470036199999999</v>
          </cell>
          <cell r="GR22">
            <v>0</v>
          </cell>
          <cell r="GS22">
            <v>0</v>
          </cell>
          <cell r="GT22">
            <v>0</v>
          </cell>
          <cell r="GU22">
            <v>0</v>
          </cell>
          <cell r="GV22" t="str">
            <v>nd</v>
          </cell>
          <cell r="GW22">
            <v>38.268732</v>
          </cell>
          <cell r="GX22">
            <v>0</v>
          </cell>
          <cell r="GY22">
            <v>0</v>
          </cell>
          <cell r="GZ22">
            <v>0</v>
          </cell>
          <cell r="HA22">
            <v>0</v>
          </cell>
          <cell r="HB22">
            <v>0</v>
          </cell>
          <cell r="HC22" t="str">
            <v>nd</v>
          </cell>
          <cell r="HD22">
            <v>0</v>
          </cell>
          <cell r="HE22">
            <v>0</v>
          </cell>
          <cell r="HF22">
            <v>0</v>
          </cell>
          <cell r="HG22">
            <v>0</v>
          </cell>
          <cell r="HH22">
            <v>0</v>
          </cell>
          <cell r="HI22">
            <v>0</v>
          </cell>
          <cell r="HJ22">
            <v>0</v>
          </cell>
          <cell r="HK22">
            <v>0</v>
          </cell>
          <cell r="HL22">
            <v>0</v>
          </cell>
          <cell r="HM22" t="str">
            <v>nd</v>
          </cell>
          <cell r="HN22" t="str">
            <v>nd</v>
          </cell>
          <cell r="HO22">
            <v>0</v>
          </cell>
          <cell r="HP22">
            <v>0</v>
          </cell>
          <cell r="HQ22">
            <v>0</v>
          </cell>
          <cell r="HR22" t="str">
            <v>nd</v>
          </cell>
          <cell r="HS22">
            <v>17.8218882</v>
          </cell>
          <cell r="HT22">
            <v>14.1807783</v>
          </cell>
          <cell r="HU22">
            <v>0</v>
          </cell>
          <cell r="HV22">
            <v>0</v>
          </cell>
          <cell r="HW22">
            <v>0</v>
          </cell>
          <cell r="HX22">
            <v>0</v>
          </cell>
          <cell r="HY22">
            <v>46.005125700000001</v>
          </cell>
          <cell r="HZ22" t="str">
            <v>nd</v>
          </cell>
          <cell r="IA22">
            <v>0</v>
          </cell>
          <cell r="IB22">
            <v>0</v>
          </cell>
          <cell r="IC22" t="str">
            <v>nd</v>
          </cell>
          <cell r="ID22">
            <v>0</v>
          </cell>
          <cell r="IE22">
            <v>0</v>
          </cell>
          <cell r="IF22" t="str">
            <v>nd</v>
          </cell>
          <cell r="IG22">
            <v>0</v>
          </cell>
          <cell r="IH22">
            <v>0</v>
          </cell>
          <cell r="II22">
            <v>0</v>
          </cell>
          <cell r="IJ22">
            <v>0</v>
          </cell>
          <cell r="IK22">
            <v>0</v>
          </cell>
          <cell r="IL22">
            <v>0</v>
          </cell>
          <cell r="IM22">
            <v>0</v>
          </cell>
          <cell r="IN22">
            <v>0</v>
          </cell>
          <cell r="IO22">
            <v>0</v>
          </cell>
          <cell r="IP22">
            <v>0</v>
          </cell>
          <cell r="IQ22" t="str">
            <v>nd</v>
          </cell>
          <cell r="IR22">
            <v>0</v>
          </cell>
          <cell r="IS22">
            <v>0</v>
          </cell>
          <cell r="IT22">
            <v>0</v>
          </cell>
          <cell r="IU22" t="str">
            <v>nd</v>
          </cell>
          <cell r="IV22">
            <v>14.2259473</v>
          </cell>
          <cell r="IW22">
            <v>18.139115799999999</v>
          </cell>
          <cell r="IX22">
            <v>0</v>
          </cell>
          <cell r="IY22">
            <v>0</v>
          </cell>
          <cell r="IZ22">
            <v>0</v>
          </cell>
          <cell r="JA22" t="str">
            <v>nd</v>
          </cell>
          <cell r="JB22">
            <v>20.5300479</v>
          </cell>
          <cell r="JC22">
            <v>24.907871</v>
          </cell>
          <cell r="JD22">
            <v>0</v>
          </cell>
          <cell r="JE22">
            <v>0</v>
          </cell>
          <cell r="JF22">
            <v>0</v>
          </cell>
          <cell r="JG22">
            <v>0</v>
          </cell>
          <cell r="JH22">
            <v>0</v>
          </cell>
          <cell r="JI22" t="str">
            <v>nd</v>
          </cell>
          <cell r="JJ22">
            <v>0</v>
          </cell>
          <cell r="JK22">
            <v>0</v>
          </cell>
          <cell r="JL22">
            <v>0</v>
          </cell>
          <cell r="JM22">
            <v>0</v>
          </cell>
          <cell r="JN22">
            <v>0</v>
          </cell>
          <cell r="JO22">
            <v>0</v>
          </cell>
          <cell r="JP22">
            <v>0</v>
          </cell>
          <cell r="JQ22">
            <v>0</v>
          </cell>
          <cell r="JR22">
            <v>0</v>
          </cell>
          <cell r="JS22">
            <v>0</v>
          </cell>
          <cell r="JT22" t="str">
            <v>nd</v>
          </cell>
          <cell r="JU22">
            <v>0</v>
          </cell>
          <cell r="JV22">
            <v>0</v>
          </cell>
          <cell r="JW22">
            <v>0</v>
          </cell>
          <cell r="JX22">
            <v>0</v>
          </cell>
          <cell r="JY22">
            <v>0</v>
          </cell>
          <cell r="JZ22">
            <v>38.537415800000005</v>
          </cell>
          <cell r="KA22">
            <v>0</v>
          </cell>
          <cell r="KB22">
            <v>0</v>
          </cell>
          <cell r="KC22">
            <v>0</v>
          </cell>
          <cell r="KD22">
            <v>0</v>
          </cell>
          <cell r="KE22">
            <v>0</v>
          </cell>
          <cell r="KF22">
            <v>47.343128700000001</v>
          </cell>
          <cell r="KG22">
            <v>0</v>
          </cell>
          <cell r="KH22">
            <v>0</v>
          </cell>
          <cell r="KI22">
            <v>0</v>
          </cell>
          <cell r="KJ22">
            <v>0</v>
          </cell>
          <cell r="KK22">
            <v>0</v>
          </cell>
          <cell r="KL22" t="str">
            <v>nd</v>
          </cell>
          <cell r="KM22">
            <v>65.600000000000009</v>
          </cell>
          <cell r="KN22">
            <v>4.5</v>
          </cell>
          <cell r="KO22">
            <v>11.799999999999999</v>
          </cell>
          <cell r="KP22">
            <v>10.9</v>
          </cell>
          <cell r="KQ22">
            <v>7.3</v>
          </cell>
          <cell r="KR22">
            <v>0</v>
          </cell>
          <cell r="KS22">
            <v>64.2</v>
          </cell>
          <cell r="KT22">
            <v>5.8000000000000007</v>
          </cell>
          <cell r="KU22">
            <v>11.5</v>
          </cell>
          <cell r="KV22">
            <v>10.8</v>
          </cell>
          <cell r="KW22">
            <v>7.6</v>
          </cell>
          <cell r="KX22">
            <v>0</v>
          </cell>
          <cell r="KY22"/>
          <cell r="KZ22"/>
          <cell r="LA22"/>
          <cell r="LB22"/>
          <cell r="LC22"/>
          <cell r="LD22"/>
          <cell r="LE22"/>
          <cell r="LF22"/>
          <cell r="LG22"/>
          <cell r="LH22"/>
          <cell r="LI22"/>
          <cell r="LJ22"/>
          <cell r="LK22"/>
          <cell r="LL22"/>
          <cell r="LM22"/>
          <cell r="LN22"/>
          <cell r="LO22"/>
        </row>
        <row r="23">
          <cell r="A23" t="str">
            <v>2C3</v>
          </cell>
          <cell r="B23" t="str">
            <v>23</v>
          </cell>
          <cell r="C23" t="str">
            <v>NAF 17</v>
          </cell>
          <cell r="D23" t="str">
            <v>C3</v>
          </cell>
          <cell r="E23" t="str">
            <v>2</v>
          </cell>
          <cell r="F23">
            <v>0</v>
          </cell>
          <cell r="G23">
            <v>4.2</v>
          </cell>
          <cell r="H23">
            <v>37</v>
          </cell>
          <cell r="I23">
            <v>40.699999999999996</v>
          </cell>
          <cell r="J23">
            <v>18.099999999999998</v>
          </cell>
          <cell r="K23">
            <v>84.2</v>
          </cell>
          <cell r="L23" t="str">
            <v>nd</v>
          </cell>
          <cell r="M23" t="str">
            <v>nd</v>
          </cell>
          <cell r="N23" t="str">
            <v>nd</v>
          </cell>
          <cell r="O23">
            <v>28.000000000000004</v>
          </cell>
          <cell r="P23">
            <v>14.099999999999998</v>
          </cell>
          <cell r="Q23">
            <v>20.9</v>
          </cell>
          <cell r="R23">
            <v>13.100000000000001</v>
          </cell>
          <cell r="S23">
            <v>4.3999999999999995</v>
          </cell>
          <cell r="T23">
            <v>43.4</v>
          </cell>
          <cell r="U23">
            <v>5</v>
          </cell>
          <cell r="V23">
            <v>16.8</v>
          </cell>
          <cell r="W23">
            <v>16.600000000000001</v>
          </cell>
          <cell r="X23">
            <v>81.2</v>
          </cell>
          <cell r="Y23" t="str">
            <v>nd</v>
          </cell>
          <cell r="Z23" t="str">
            <v>nd</v>
          </cell>
          <cell r="AA23">
            <v>34.9</v>
          </cell>
          <cell r="AB23">
            <v>0</v>
          </cell>
          <cell r="AC23" t="str">
            <v>nd</v>
          </cell>
          <cell r="AD23" t="str">
            <v>nd</v>
          </cell>
          <cell r="AE23">
            <v>47.5</v>
          </cell>
          <cell r="AF23">
            <v>52.5</v>
          </cell>
          <cell r="AG23">
            <v>66.3</v>
          </cell>
          <cell r="AH23">
            <v>33.700000000000003</v>
          </cell>
          <cell r="AI23">
            <v>48.199999999999996</v>
          </cell>
          <cell r="AJ23">
            <v>0</v>
          </cell>
          <cell r="AK23">
            <v>0</v>
          </cell>
          <cell r="AL23">
            <v>51.800000000000004</v>
          </cell>
          <cell r="AM23">
            <v>0</v>
          </cell>
          <cell r="AN23">
            <v>15.4</v>
          </cell>
          <cell r="AO23">
            <v>0</v>
          </cell>
          <cell r="AP23">
            <v>0</v>
          </cell>
          <cell r="AQ23">
            <v>84.6</v>
          </cell>
          <cell r="AR23">
            <v>0</v>
          </cell>
          <cell r="AS23">
            <v>70.5</v>
          </cell>
          <cell r="AT23">
            <v>9.4</v>
          </cell>
          <cell r="AU23">
            <v>9.9</v>
          </cell>
          <cell r="AV23" t="str">
            <v>nd</v>
          </cell>
          <cell r="AW23" t="str">
            <v>nd</v>
          </cell>
          <cell r="AX23">
            <v>5.8000000000000007</v>
          </cell>
          <cell r="AY23">
            <v>5.7</v>
          </cell>
          <cell r="AZ23" t="str">
            <v>nd</v>
          </cell>
          <cell r="BA23" t="str">
            <v>nd</v>
          </cell>
          <cell r="BB23">
            <v>5</v>
          </cell>
          <cell r="BC23">
            <v>40.300000000000004</v>
          </cell>
          <cell r="BD23">
            <v>41.199999999999996</v>
          </cell>
          <cell r="BE23" t="str">
            <v>nd</v>
          </cell>
          <cell r="BF23" t="str">
            <v>nd</v>
          </cell>
          <cell r="BG23">
            <v>0</v>
          </cell>
          <cell r="BH23">
            <v>0</v>
          </cell>
          <cell r="BI23">
            <v>19.400000000000002</v>
          </cell>
          <cell r="BJ23">
            <v>78.600000000000009</v>
          </cell>
          <cell r="BK23">
            <v>0</v>
          </cell>
          <cell r="BL23">
            <v>0</v>
          </cell>
          <cell r="BM23">
            <v>0</v>
          </cell>
          <cell r="BN23">
            <v>4</v>
          </cell>
          <cell r="BO23">
            <v>62.7</v>
          </cell>
          <cell r="BP23">
            <v>33.300000000000004</v>
          </cell>
          <cell r="BQ23">
            <v>0</v>
          </cell>
          <cell r="BR23">
            <v>0</v>
          </cell>
          <cell r="BS23">
            <v>0</v>
          </cell>
          <cell r="BT23" t="str">
            <v>nd</v>
          </cell>
          <cell r="BU23">
            <v>45.800000000000004</v>
          </cell>
          <cell r="BV23">
            <v>50.1</v>
          </cell>
          <cell r="BW23">
            <v>0</v>
          </cell>
          <cell r="BX23">
            <v>0</v>
          </cell>
          <cell r="BY23">
            <v>0</v>
          </cell>
          <cell r="BZ23">
            <v>0</v>
          </cell>
          <cell r="CA23">
            <v>0</v>
          </cell>
          <cell r="CB23">
            <v>100</v>
          </cell>
          <cell r="CC23">
            <v>13.200000000000001</v>
          </cell>
          <cell r="CD23">
            <v>16.2</v>
          </cell>
          <cell r="CE23" t="str">
            <v>nd</v>
          </cell>
          <cell r="CF23" t="str">
            <v>nd</v>
          </cell>
          <cell r="CG23">
            <v>0</v>
          </cell>
          <cell r="CH23">
            <v>38.5</v>
          </cell>
          <cell r="CI23">
            <v>7.5</v>
          </cell>
          <cell r="CJ23">
            <v>52.800000000000004</v>
          </cell>
          <cell r="CK23">
            <v>28.499999999999996</v>
          </cell>
          <cell r="CL23">
            <v>0</v>
          </cell>
          <cell r="CM23" t="str">
            <v>nd</v>
          </cell>
          <cell r="CN23">
            <v>0</v>
          </cell>
          <cell r="CO23">
            <v>66.5</v>
          </cell>
          <cell r="CP23">
            <v>34.1</v>
          </cell>
          <cell r="CQ23">
            <v>45.6</v>
          </cell>
          <cell r="CR23" t="str">
            <v>nd</v>
          </cell>
          <cell r="CS23">
            <v>17.5</v>
          </cell>
          <cell r="CT23">
            <v>13</v>
          </cell>
          <cell r="CU23">
            <v>87</v>
          </cell>
          <cell r="CV23">
            <v>14.299999999999999</v>
          </cell>
          <cell r="CW23">
            <v>85.7</v>
          </cell>
          <cell r="CX23">
            <v>8.3000000000000007</v>
          </cell>
          <cell r="CY23">
            <v>41.199999999999996</v>
          </cell>
          <cell r="CZ23">
            <v>50.5</v>
          </cell>
          <cell r="DA23">
            <v>0</v>
          </cell>
          <cell r="DB23">
            <v>0</v>
          </cell>
          <cell r="DC23" t="str">
            <v>nd</v>
          </cell>
          <cell r="DD23">
            <v>0</v>
          </cell>
          <cell r="DE23">
            <v>89.2</v>
          </cell>
          <cell r="DF23">
            <v>17.299999999999997</v>
          </cell>
          <cell r="DG23">
            <v>12.9</v>
          </cell>
          <cell r="DH23">
            <v>12.6</v>
          </cell>
          <cell r="DI23">
            <v>18.399999999999999</v>
          </cell>
          <cell r="DJ23">
            <v>21.4</v>
          </cell>
          <cell r="DK23">
            <v>17.299999999999997</v>
          </cell>
          <cell r="DL23">
            <v>26.5</v>
          </cell>
          <cell r="DM23">
            <v>56.8</v>
          </cell>
          <cell r="DN23" t="str">
            <v>nd</v>
          </cell>
          <cell r="DO23">
            <v>4.5</v>
          </cell>
          <cell r="DP23" t="str">
            <v>nd</v>
          </cell>
          <cell r="DQ23">
            <v>0</v>
          </cell>
          <cell r="DR23">
            <v>15.1</v>
          </cell>
          <cell r="DS23">
            <v>7.3999999999999995</v>
          </cell>
          <cell r="DT23">
            <v>13</v>
          </cell>
          <cell r="DU23">
            <v>0</v>
          </cell>
          <cell r="DV23">
            <v>0</v>
          </cell>
          <cell r="DW23">
            <v>0</v>
          </cell>
          <cell r="DX23">
            <v>0</v>
          </cell>
          <cell r="DY23">
            <v>0</v>
          </cell>
          <cell r="DZ23" t="str">
            <v>nd</v>
          </cell>
          <cell r="EA23" t="str">
            <v>nd</v>
          </cell>
          <cell r="EB23" t="str">
            <v>nd</v>
          </cell>
          <cell r="EC23">
            <v>0</v>
          </cell>
          <cell r="ED23">
            <v>0</v>
          </cell>
          <cell r="EE23">
            <v>0</v>
          </cell>
          <cell r="EF23">
            <v>26.529494100000001</v>
          </cell>
          <cell r="EG23">
            <v>0</v>
          </cell>
          <cell r="EH23" t="str">
            <v>nd</v>
          </cell>
          <cell r="EI23" t="str">
            <v>nd</v>
          </cell>
          <cell r="EJ23">
            <v>0</v>
          </cell>
          <cell r="EK23" t="str">
            <v>nd</v>
          </cell>
          <cell r="EL23">
            <v>32.014523400000002</v>
          </cell>
          <cell r="EM23" t="str">
            <v>nd</v>
          </cell>
          <cell r="EN23">
            <v>0</v>
          </cell>
          <cell r="EO23">
            <v>0</v>
          </cell>
          <cell r="EP23" t="str">
            <v>nd</v>
          </cell>
          <cell r="EQ23" t="str">
            <v>nd</v>
          </cell>
          <cell r="ER23">
            <v>11.1212696</v>
          </cell>
          <cell r="ES23" t="str">
            <v>nd</v>
          </cell>
          <cell r="ET23" t="str">
            <v>nd</v>
          </cell>
          <cell r="EU23">
            <v>0</v>
          </cell>
          <cell r="EV23">
            <v>0</v>
          </cell>
          <cell r="EW23">
            <v>0</v>
          </cell>
          <cell r="EX23">
            <v>0</v>
          </cell>
          <cell r="EY23">
            <v>0</v>
          </cell>
          <cell r="EZ23">
            <v>0</v>
          </cell>
          <cell r="FA23">
            <v>0</v>
          </cell>
          <cell r="FB23">
            <v>0</v>
          </cell>
          <cell r="FC23">
            <v>0</v>
          </cell>
          <cell r="FD23">
            <v>0</v>
          </cell>
          <cell r="FE23">
            <v>0</v>
          </cell>
          <cell r="FF23" t="str">
            <v>nd</v>
          </cell>
          <cell r="FG23">
            <v>2.24587</v>
          </cell>
          <cell r="FH23">
            <v>0</v>
          </cell>
          <cell r="FI23" t="str">
            <v>nd</v>
          </cell>
          <cell r="FJ23" t="str">
            <v>nd</v>
          </cell>
          <cell r="FK23">
            <v>0</v>
          </cell>
          <cell r="FL23" t="str">
            <v>nd</v>
          </cell>
          <cell r="FM23">
            <v>21.142569200000001</v>
          </cell>
          <cell r="FN23">
            <v>6.6515940999999996</v>
          </cell>
          <cell r="FO23" t="str">
            <v>nd</v>
          </cell>
          <cell r="FP23">
            <v>0</v>
          </cell>
          <cell r="FQ23" t="str">
            <v>nd</v>
          </cell>
          <cell r="FR23" t="str">
            <v>nd</v>
          </cell>
          <cell r="FS23">
            <v>12.8643909</v>
          </cell>
          <cell r="FT23">
            <v>23.971039999999999</v>
          </cell>
          <cell r="FU23" t="str">
            <v>nd</v>
          </cell>
          <cell r="FV23">
            <v>0</v>
          </cell>
          <cell r="FW23" t="str">
            <v>nd</v>
          </cell>
          <cell r="FX23">
            <v>0</v>
          </cell>
          <cell r="FY23" t="str">
            <v>nd</v>
          </cell>
          <cell r="FZ23">
            <v>10.604151</v>
          </cell>
          <cell r="GA23">
            <v>0</v>
          </cell>
          <cell r="GB23">
            <v>0</v>
          </cell>
          <cell r="GC23">
            <v>0</v>
          </cell>
          <cell r="GD23">
            <v>0</v>
          </cell>
          <cell r="GE23">
            <v>0</v>
          </cell>
          <cell r="GF23">
            <v>0</v>
          </cell>
          <cell r="GG23" t="str">
            <v>nd</v>
          </cell>
          <cell r="GH23">
            <v>0</v>
          </cell>
          <cell r="GI23">
            <v>0</v>
          </cell>
          <cell r="GJ23" t="str">
            <v>nd</v>
          </cell>
          <cell r="GK23" t="str">
            <v>nd</v>
          </cell>
          <cell r="GL23" t="str">
            <v>nd</v>
          </cell>
          <cell r="GM23">
            <v>0</v>
          </cell>
          <cell r="GN23">
            <v>0</v>
          </cell>
          <cell r="GO23">
            <v>0</v>
          </cell>
          <cell r="GP23">
            <v>8.2935257</v>
          </cell>
          <cell r="GQ23">
            <v>28.469147599999999</v>
          </cell>
          <cell r="GR23">
            <v>0</v>
          </cell>
          <cell r="GS23">
            <v>0</v>
          </cell>
          <cell r="GT23">
            <v>0</v>
          </cell>
          <cell r="GU23">
            <v>0</v>
          </cell>
          <cell r="GV23">
            <v>6.2995445999999999</v>
          </cell>
          <cell r="GW23">
            <v>33.975240800000002</v>
          </cell>
          <cell r="GX23">
            <v>0</v>
          </cell>
          <cell r="GY23">
            <v>0</v>
          </cell>
          <cell r="GZ23">
            <v>0</v>
          </cell>
          <cell r="HA23">
            <v>0</v>
          </cell>
          <cell r="HB23" t="str">
            <v>nd</v>
          </cell>
          <cell r="HC23">
            <v>15.343649500000001</v>
          </cell>
          <cell r="HD23">
            <v>0</v>
          </cell>
          <cell r="HE23">
            <v>0</v>
          </cell>
          <cell r="HF23">
            <v>0</v>
          </cell>
          <cell r="HG23">
            <v>0</v>
          </cell>
          <cell r="HH23">
            <v>0</v>
          </cell>
          <cell r="HI23">
            <v>0</v>
          </cell>
          <cell r="HJ23">
            <v>0</v>
          </cell>
          <cell r="HK23">
            <v>0</v>
          </cell>
          <cell r="HL23">
            <v>0</v>
          </cell>
          <cell r="HM23">
            <v>2.4200699999999999</v>
          </cell>
          <cell r="HN23" t="str">
            <v>nd</v>
          </cell>
          <cell r="HO23">
            <v>0</v>
          </cell>
          <cell r="HP23">
            <v>0</v>
          </cell>
          <cell r="HQ23">
            <v>0</v>
          </cell>
          <cell r="HR23" t="str">
            <v>nd</v>
          </cell>
          <cell r="HS23">
            <v>22.114568300000002</v>
          </cell>
          <cell r="HT23">
            <v>10.7486301</v>
          </cell>
          <cell r="HU23">
            <v>0</v>
          </cell>
          <cell r="HV23">
            <v>0</v>
          </cell>
          <cell r="HW23">
            <v>0</v>
          </cell>
          <cell r="HX23" t="str">
            <v>nd</v>
          </cell>
          <cell r="HY23">
            <v>29.352377300000001</v>
          </cell>
          <cell r="HZ23">
            <v>11.5569159</v>
          </cell>
          <cell r="IA23">
            <v>0</v>
          </cell>
          <cell r="IB23">
            <v>0</v>
          </cell>
          <cell r="IC23">
            <v>0</v>
          </cell>
          <cell r="ID23">
            <v>0</v>
          </cell>
          <cell r="IE23">
            <v>8.8514906</v>
          </cell>
          <cell r="IF23">
            <v>10.1758837</v>
          </cell>
          <cell r="IG23">
            <v>0</v>
          </cell>
          <cell r="IH23">
            <v>0</v>
          </cell>
          <cell r="II23">
            <v>0</v>
          </cell>
          <cell r="IJ23">
            <v>0</v>
          </cell>
          <cell r="IK23">
            <v>0</v>
          </cell>
          <cell r="IL23">
            <v>0</v>
          </cell>
          <cell r="IM23">
            <v>0</v>
          </cell>
          <cell r="IN23">
            <v>0</v>
          </cell>
          <cell r="IO23" t="str">
            <v>nd</v>
          </cell>
          <cell r="IP23" t="str">
            <v>nd</v>
          </cell>
          <cell r="IQ23" t="str">
            <v>nd</v>
          </cell>
          <cell r="IR23">
            <v>0</v>
          </cell>
          <cell r="IS23">
            <v>0</v>
          </cell>
          <cell r="IT23">
            <v>0</v>
          </cell>
          <cell r="IU23" t="str">
            <v>nd</v>
          </cell>
          <cell r="IV23">
            <v>22.223250999999998</v>
          </cell>
          <cell r="IW23">
            <v>11.3284515</v>
          </cell>
          <cell r="IX23">
            <v>0</v>
          </cell>
          <cell r="IY23">
            <v>0</v>
          </cell>
          <cell r="IZ23">
            <v>0</v>
          </cell>
          <cell r="JA23">
            <v>0</v>
          </cell>
          <cell r="JB23">
            <v>13.967223200000001</v>
          </cell>
          <cell r="JC23">
            <v>27.5363048</v>
          </cell>
          <cell r="JD23">
            <v>0</v>
          </cell>
          <cell r="JE23">
            <v>0</v>
          </cell>
          <cell r="JF23">
            <v>0</v>
          </cell>
          <cell r="JG23">
            <v>0</v>
          </cell>
          <cell r="JH23">
            <v>8.7172903999999996</v>
          </cell>
          <cell r="JI23">
            <v>9.8241733</v>
          </cell>
          <cell r="JJ23">
            <v>0</v>
          </cell>
          <cell r="JK23">
            <v>0</v>
          </cell>
          <cell r="JL23">
            <v>0</v>
          </cell>
          <cell r="JM23">
            <v>0</v>
          </cell>
          <cell r="JN23">
            <v>0</v>
          </cell>
          <cell r="JO23">
            <v>0</v>
          </cell>
          <cell r="JP23">
            <v>0</v>
          </cell>
          <cell r="JQ23">
            <v>0</v>
          </cell>
          <cell r="JR23">
            <v>0</v>
          </cell>
          <cell r="JS23">
            <v>0</v>
          </cell>
          <cell r="JT23">
            <v>3.12968</v>
          </cell>
          <cell r="JU23">
            <v>0</v>
          </cell>
          <cell r="JV23">
            <v>0</v>
          </cell>
          <cell r="JW23">
            <v>0</v>
          </cell>
          <cell r="JX23">
            <v>0</v>
          </cell>
          <cell r="JY23">
            <v>0</v>
          </cell>
          <cell r="JZ23">
            <v>36.8253281</v>
          </cell>
          <cell r="KA23">
            <v>0</v>
          </cell>
          <cell r="KB23">
            <v>0</v>
          </cell>
          <cell r="KC23">
            <v>0</v>
          </cell>
          <cell r="KD23">
            <v>0</v>
          </cell>
          <cell r="KE23">
            <v>0</v>
          </cell>
          <cell r="KF23">
            <v>41.503528000000003</v>
          </cell>
          <cell r="KG23">
            <v>0</v>
          </cell>
          <cell r="KH23">
            <v>0</v>
          </cell>
          <cell r="KI23">
            <v>0</v>
          </cell>
          <cell r="KJ23">
            <v>0</v>
          </cell>
          <cell r="KK23">
            <v>0</v>
          </cell>
          <cell r="KL23">
            <v>18.541463799999999</v>
          </cell>
          <cell r="KM23">
            <v>80.100000000000009</v>
          </cell>
          <cell r="KN23">
            <v>9</v>
          </cell>
          <cell r="KO23">
            <v>2.1</v>
          </cell>
          <cell r="KP23">
            <v>5.2</v>
          </cell>
          <cell r="KQ23">
            <v>3.6999999999999997</v>
          </cell>
          <cell r="KR23">
            <v>0</v>
          </cell>
          <cell r="KS23">
            <v>79.5</v>
          </cell>
          <cell r="KT23">
            <v>9.1999999999999993</v>
          </cell>
          <cell r="KU23">
            <v>2.1999999999999997</v>
          </cell>
          <cell r="KV23">
            <v>5.3</v>
          </cell>
          <cell r="KW23">
            <v>3.8</v>
          </cell>
          <cell r="KX23">
            <v>0</v>
          </cell>
          <cell r="KY23"/>
          <cell r="KZ23"/>
          <cell r="LA23"/>
          <cell r="LB23"/>
          <cell r="LC23"/>
          <cell r="LD23"/>
          <cell r="LE23"/>
          <cell r="LF23"/>
          <cell r="LG23"/>
          <cell r="LH23"/>
          <cell r="LI23"/>
          <cell r="LJ23"/>
          <cell r="LK23"/>
          <cell r="LL23"/>
          <cell r="LM23"/>
          <cell r="LN23"/>
          <cell r="LO23"/>
        </row>
        <row r="24">
          <cell r="A24" t="str">
            <v>3C3</v>
          </cell>
          <cell r="B24" t="str">
            <v>24</v>
          </cell>
          <cell r="C24" t="str">
            <v>NAF 17</v>
          </cell>
          <cell r="D24" t="str">
            <v>C3</v>
          </cell>
          <cell r="E24" t="str">
            <v>3</v>
          </cell>
          <cell r="F24">
            <v>0</v>
          </cell>
          <cell r="G24">
            <v>4.5</v>
          </cell>
          <cell r="H24">
            <v>45.800000000000004</v>
          </cell>
          <cell r="I24">
            <v>46.2</v>
          </cell>
          <cell r="J24">
            <v>3.5000000000000004</v>
          </cell>
          <cell r="K24">
            <v>73</v>
          </cell>
          <cell r="L24">
            <v>0</v>
          </cell>
          <cell r="M24">
            <v>18.099999999999998</v>
          </cell>
          <cell r="N24">
            <v>8.9</v>
          </cell>
          <cell r="O24">
            <v>26.8</v>
          </cell>
          <cell r="P24">
            <v>13</v>
          </cell>
          <cell r="Q24">
            <v>33.300000000000004</v>
          </cell>
          <cell r="R24">
            <v>5</v>
          </cell>
          <cell r="S24">
            <v>21.2</v>
          </cell>
          <cell r="T24">
            <v>43.6</v>
          </cell>
          <cell r="U24" t="str">
            <v>nd</v>
          </cell>
          <cell r="V24">
            <v>25</v>
          </cell>
          <cell r="W24">
            <v>10.299999999999999</v>
          </cell>
          <cell r="X24">
            <v>85.7</v>
          </cell>
          <cell r="Y24">
            <v>4</v>
          </cell>
          <cell r="Z24" t="str">
            <v>nd</v>
          </cell>
          <cell r="AA24" t="str">
            <v>nd</v>
          </cell>
          <cell r="AB24">
            <v>0</v>
          </cell>
          <cell r="AC24">
            <v>58.3</v>
          </cell>
          <cell r="AD24" t="str">
            <v>nd</v>
          </cell>
          <cell r="AE24">
            <v>65.5</v>
          </cell>
          <cell r="AF24">
            <v>34.5</v>
          </cell>
          <cell r="AG24">
            <v>53.5</v>
          </cell>
          <cell r="AH24">
            <v>46.5</v>
          </cell>
          <cell r="AI24">
            <v>57.699999999999996</v>
          </cell>
          <cell r="AJ24" t="str">
            <v>nd</v>
          </cell>
          <cell r="AK24">
            <v>0</v>
          </cell>
          <cell r="AL24">
            <v>31</v>
          </cell>
          <cell r="AM24">
            <v>7.3999999999999995</v>
          </cell>
          <cell r="AN24">
            <v>31.8</v>
          </cell>
          <cell r="AO24">
            <v>0</v>
          </cell>
          <cell r="AP24">
            <v>0</v>
          </cell>
          <cell r="AQ24">
            <v>66.900000000000006</v>
          </cell>
          <cell r="AR24" t="str">
            <v>nd</v>
          </cell>
          <cell r="AS24">
            <v>62.8</v>
          </cell>
          <cell r="AT24">
            <v>16.100000000000001</v>
          </cell>
          <cell r="AU24">
            <v>11</v>
          </cell>
          <cell r="AV24">
            <v>3.1</v>
          </cell>
          <cell r="AW24">
            <v>6.3</v>
          </cell>
          <cell r="AX24" t="str">
            <v>nd</v>
          </cell>
          <cell r="AY24" t="str">
            <v>nd</v>
          </cell>
          <cell r="AZ24" t="str">
            <v>nd</v>
          </cell>
          <cell r="BA24">
            <v>12.7</v>
          </cell>
          <cell r="BB24">
            <v>16.7</v>
          </cell>
          <cell r="BC24">
            <v>43.4</v>
          </cell>
          <cell r="BD24">
            <v>25.900000000000002</v>
          </cell>
          <cell r="BE24">
            <v>0</v>
          </cell>
          <cell r="BF24">
            <v>0</v>
          </cell>
          <cell r="BG24">
            <v>4.7</v>
          </cell>
          <cell r="BH24" t="str">
            <v>nd</v>
          </cell>
          <cell r="BI24">
            <v>36</v>
          </cell>
          <cell r="BJ24">
            <v>55.900000000000006</v>
          </cell>
          <cell r="BK24">
            <v>0</v>
          </cell>
          <cell r="BL24">
            <v>0</v>
          </cell>
          <cell r="BM24" t="str">
            <v>nd</v>
          </cell>
          <cell r="BN24" t="str">
            <v>nd</v>
          </cell>
          <cell r="BO24">
            <v>87.5</v>
          </cell>
          <cell r="BP24">
            <v>7.6</v>
          </cell>
          <cell r="BQ24">
            <v>0</v>
          </cell>
          <cell r="BR24">
            <v>0</v>
          </cell>
          <cell r="BS24">
            <v>0</v>
          </cell>
          <cell r="BT24">
            <v>3.5999999999999996</v>
          </cell>
          <cell r="BU24">
            <v>61.4</v>
          </cell>
          <cell r="BV24">
            <v>35.099999999999994</v>
          </cell>
          <cell r="BW24">
            <v>0</v>
          </cell>
          <cell r="BX24">
            <v>0</v>
          </cell>
          <cell r="BY24">
            <v>0</v>
          </cell>
          <cell r="BZ24">
            <v>0</v>
          </cell>
          <cell r="CA24">
            <v>0</v>
          </cell>
          <cell r="CB24">
            <v>100</v>
          </cell>
          <cell r="CC24">
            <v>19</v>
          </cell>
          <cell r="CD24">
            <v>10.199999999999999</v>
          </cell>
          <cell r="CE24">
            <v>0</v>
          </cell>
          <cell r="CF24" t="str">
            <v>nd</v>
          </cell>
          <cell r="CG24">
            <v>0</v>
          </cell>
          <cell r="CH24">
            <v>25.4</v>
          </cell>
          <cell r="CI24">
            <v>15.6</v>
          </cell>
          <cell r="CJ24">
            <v>51.7</v>
          </cell>
          <cell r="CK24">
            <v>39.5</v>
          </cell>
          <cell r="CL24">
            <v>6.8000000000000007</v>
          </cell>
          <cell r="CM24">
            <v>0</v>
          </cell>
          <cell r="CN24">
            <v>0</v>
          </cell>
          <cell r="CO24">
            <v>58.9</v>
          </cell>
          <cell r="CP24">
            <v>21.099999999999998</v>
          </cell>
          <cell r="CQ24">
            <v>40.799999999999997</v>
          </cell>
          <cell r="CR24">
            <v>11.700000000000001</v>
          </cell>
          <cell r="CS24">
            <v>26.400000000000002</v>
          </cell>
          <cell r="CT24">
            <v>14.899999999999999</v>
          </cell>
          <cell r="CU24">
            <v>85.1</v>
          </cell>
          <cell r="CV24">
            <v>13.8</v>
          </cell>
          <cell r="CW24">
            <v>86.2</v>
          </cell>
          <cell r="CX24">
            <v>17.100000000000001</v>
          </cell>
          <cell r="CY24">
            <v>45.300000000000004</v>
          </cell>
          <cell r="CZ24">
            <v>37.6</v>
          </cell>
          <cell r="DA24" t="str">
            <v>nd</v>
          </cell>
          <cell r="DB24" t="str">
            <v>nd</v>
          </cell>
          <cell r="DC24" t="str">
            <v>nd</v>
          </cell>
          <cell r="DD24">
            <v>0</v>
          </cell>
          <cell r="DE24">
            <v>62</v>
          </cell>
          <cell r="DF24">
            <v>13.900000000000002</v>
          </cell>
          <cell r="DG24" t="str">
            <v>nd</v>
          </cell>
          <cell r="DH24">
            <v>12.4</v>
          </cell>
          <cell r="DI24">
            <v>24.6</v>
          </cell>
          <cell r="DJ24">
            <v>30.599999999999998</v>
          </cell>
          <cell r="DK24">
            <v>17</v>
          </cell>
          <cell r="DL24">
            <v>13.200000000000001</v>
          </cell>
          <cell r="DM24">
            <v>53</v>
          </cell>
          <cell r="DN24">
            <v>7.3999999999999995</v>
          </cell>
          <cell r="DO24">
            <v>9.9</v>
          </cell>
          <cell r="DP24">
            <v>8</v>
          </cell>
          <cell r="DQ24">
            <v>0</v>
          </cell>
          <cell r="DR24">
            <v>33.200000000000003</v>
          </cell>
          <cell r="DS24">
            <v>16</v>
          </cell>
          <cell r="DT24">
            <v>15.9</v>
          </cell>
          <cell r="DU24">
            <v>0</v>
          </cell>
          <cell r="DV24">
            <v>0</v>
          </cell>
          <cell r="DW24">
            <v>0</v>
          </cell>
          <cell r="DX24">
            <v>0</v>
          </cell>
          <cell r="DY24">
            <v>0</v>
          </cell>
          <cell r="DZ24" t="str">
            <v>nd</v>
          </cell>
          <cell r="EA24">
            <v>0</v>
          </cell>
          <cell r="EB24" t="str">
            <v>nd</v>
          </cell>
          <cell r="EC24">
            <v>0</v>
          </cell>
          <cell r="ED24">
            <v>0</v>
          </cell>
          <cell r="EE24">
            <v>0</v>
          </cell>
          <cell r="EF24">
            <v>24.398350199999999</v>
          </cell>
          <cell r="EG24">
            <v>12.1009218</v>
          </cell>
          <cell r="EH24">
            <v>6.1982099999999996</v>
          </cell>
          <cell r="EI24" t="str">
            <v>nd</v>
          </cell>
          <cell r="EJ24">
            <v>0</v>
          </cell>
          <cell r="EK24">
            <v>0</v>
          </cell>
          <cell r="EL24">
            <v>34.555503000000002</v>
          </cell>
          <cell r="EM24">
            <v>4.01295</v>
          </cell>
          <cell r="EN24" t="str">
            <v>nd</v>
          </cell>
          <cell r="EO24" t="str">
            <v>nd</v>
          </cell>
          <cell r="EP24" t="str">
            <v>nd</v>
          </cell>
          <cell r="EQ24" t="str">
            <v>nd</v>
          </cell>
          <cell r="ER24" t="str">
            <v>nd</v>
          </cell>
          <cell r="ES24">
            <v>0</v>
          </cell>
          <cell r="ET24">
            <v>0</v>
          </cell>
          <cell r="EU24">
            <v>0</v>
          </cell>
          <cell r="EV24" t="str">
            <v>nd</v>
          </cell>
          <cell r="EW24">
            <v>0</v>
          </cell>
          <cell r="EX24">
            <v>0</v>
          </cell>
          <cell r="EY24">
            <v>0</v>
          </cell>
          <cell r="EZ24">
            <v>0</v>
          </cell>
          <cell r="FA24">
            <v>0</v>
          </cell>
          <cell r="FB24">
            <v>0</v>
          </cell>
          <cell r="FC24">
            <v>0</v>
          </cell>
          <cell r="FD24">
            <v>0</v>
          </cell>
          <cell r="FE24" t="str">
            <v>nd</v>
          </cell>
          <cell r="FF24">
            <v>0</v>
          </cell>
          <cell r="FG24" t="str">
            <v>nd</v>
          </cell>
          <cell r="FH24" t="str">
            <v>nd</v>
          </cell>
          <cell r="FI24">
            <v>0</v>
          </cell>
          <cell r="FJ24">
            <v>0</v>
          </cell>
          <cell r="FK24">
            <v>4.6720800000000002</v>
          </cell>
          <cell r="FL24">
            <v>14.227836799999999</v>
          </cell>
          <cell r="FM24">
            <v>17.608918600000003</v>
          </cell>
          <cell r="FN24">
            <v>8.6143672999999996</v>
          </cell>
          <cell r="FO24" t="str">
            <v>nd</v>
          </cell>
          <cell r="FP24" t="str">
            <v>nd</v>
          </cell>
          <cell r="FQ24">
            <v>5.5388799999999998</v>
          </cell>
          <cell r="FR24" t="str">
            <v>nd</v>
          </cell>
          <cell r="FS24">
            <v>23.058729100000001</v>
          </cell>
          <cell r="FT24">
            <v>13.985826900000001</v>
          </cell>
          <cell r="FU24">
            <v>0</v>
          </cell>
          <cell r="FV24">
            <v>0</v>
          </cell>
          <cell r="FW24">
            <v>0</v>
          </cell>
          <cell r="FX24">
            <v>0</v>
          </cell>
          <cell r="FY24" t="str">
            <v>nd</v>
          </cell>
          <cell r="FZ24" t="str">
            <v>nd</v>
          </cell>
          <cell r="GA24">
            <v>0</v>
          </cell>
          <cell r="GB24">
            <v>0</v>
          </cell>
          <cell r="GC24">
            <v>0</v>
          </cell>
          <cell r="GD24">
            <v>0</v>
          </cell>
          <cell r="GE24">
            <v>0</v>
          </cell>
          <cell r="GF24">
            <v>0</v>
          </cell>
          <cell r="GG24">
            <v>0</v>
          </cell>
          <cell r="GH24">
            <v>0</v>
          </cell>
          <cell r="GI24">
            <v>0</v>
          </cell>
          <cell r="GJ24">
            <v>0</v>
          </cell>
          <cell r="GK24">
            <v>4.5619899999999998</v>
          </cell>
          <cell r="GL24">
            <v>0</v>
          </cell>
          <cell r="GM24">
            <v>0</v>
          </cell>
          <cell r="GN24" t="str">
            <v>nd</v>
          </cell>
          <cell r="GO24" t="str">
            <v>nd</v>
          </cell>
          <cell r="GP24">
            <v>18.558796900000001</v>
          </cell>
          <cell r="GQ24">
            <v>23.424855000000001</v>
          </cell>
          <cell r="GR24">
            <v>0</v>
          </cell>
          <cell r="GS24">
            <v>0</v>
          </cell>
          <cell r="GT24" t="str">
            <v>nd</v>
          </cell>
          <cell r="GU24">
            <v>0</v>
          </cell>
          <cell r="GV24">
            <v>16.5167441</v>
          </cell>
          <cell r="GW24">
            <v>25.003904500000001</v>
          </cell>
          <cell r="GX24">
            <v>0</v>
          </cell>
          <cell r="GY24">
            <v>0</v>
          </cell>
          <cell r="GZ24">
            <v>0</v>
          </cell>
          <cell r="HA24">
            <v>0</v>
          </cell>
          <cell r="HB24" t="str">
            <v>nd</v>
          </cell>
          <cell r="HC24">
            <v>2.9328799999999999</v>
          </cell>
          <cell r="HD24">
            <v>0</v>
          </cell>
          <cell r="HE24">
            <v>0</v>
          </cell>
          <cell r="HF24">
            <v>0</v>
          </cell>
          <cell r="HG24">
            <v>0</v>
          </cell>
          <cell r="HH24">
            <v>0</v>
          </cell>
          <cell r="HI24">
            <v>0</v>
          </cell>
          <cell r="HJ24">
            <v>0</v>
          </cell>
          <cell r="HK24">
            <v>0</v>
          </cell>
          <cell r="HL24">
            <v>0</v>
          </cell>
          <cell r="HM24">
            <v>5.2975300000000001</v>
          </cell>
          <cell r="HN24">
            <v>0</v>
          </cell>
          <cell r="HO24">
            <v>0</v>
          </cell>
          <cell r="HP24">
            <v>0</v>
          </cell>
          <cell r="HQ24" t="str">
            <v>nd</v>
          </cell>
          <cell r="HR24" t="str">
            <v>nd</v>
          </cell>
          <cell r="HS24">
            <v>40.676937500000001</v>
          </cell>
          <cell r="HT24" t="str">
            <v>nd</v>
          </cell>
          <cell r="HU24">
            <v>0</v>
          </cell>
          <cell r="HV24">
            <v>0</v>
          </cell>
          <cell r="HW24">
            <v>0</v>
          </cell>
          <cell r="HX24">
            <v>0</v>
          </cell>
          <cell r="HY24">
            <v>39.768626000000005</v>
          </cell>
          <cell r="HZ24">
            <v>4.40245</v>
          </cell>
          <cell r="IA24">
            <v>0</v>
          </cell>
          <cell r="IB24">
            <v>0</v>
          </cell>
          <cell r="IC24">
            <v>0</v>
          </cell>
          <cell r="ID24" t="str">
            <v>nd</v>
          </cell>
          <cell r="IE24" t="str">
            <v>nd</v>
          </cell>
          <cell r="IF24" t="str">
            <v>nd</v>
          </cell>
          <cell r="IG24">
            <v>0</v>
          </cell>
          <cell r="IH24">
            <v>0</v>
          </cell>
          <cell r="II24">
            <v>0</v>
          </cell>
          <cell r="IJ24">
            <v>0</v>
          </cell>
          <cell r="IK24">
            <v>0</v>
          </cell>
          <cell r="IL24">
            <v>0</v>
          </cell>
          <cell r="IM24">
            <v>0</v>
          </cell>
          <cell r="IN24">
            <v>0</v>
          </cell>
          <cell r="IO24">
            <v>0</v>
          </cell>
          <cell r="IP24" t="str">
            <v>nd</v>
          </cell>
          <cell r="IQ24" t="str">
            <v>nd</v>
          </cell>
          <cell r="IR24">
            <v>0</v>
          </cell>
          <cell r="IS24">
            <v>0</v>
          </cell>
          <cell r="IT24">
            <v>0</v>
          </cell>
          <cell r="IU24">
            <v>0</v>
          </cell>
          <cell r="IV24">
            <v>31.156902199999998</v>
          </cell>
          <cell r="IW24">
            <v>15.037065499999999</v>
          </cell>
          <cell r="IX24">
            <v>0</v>
          </cell>
          <cell r="IY24">
            <v>0</v>
          </cell>
          <cell r="IZ24">
            <v>0</v>
          </cell>
          <cell r="JA24">
            <v>3.5532300000000001</v>
          </cell>
          <cell r="JB24">
            <v>26.401889799999999</v>
          </cell>
          <cell r="JC24">
            <v>15.818245300000001</v>
          </cell>
          <cell r="JD24">
            <v>0</v>
          </cell>
          <cell r="JE24">
            <v>0</v>
          </cell>
          <cell r="JF24">
            <v>0</v>
          </cell>
          <cell r="JG24">
            <v>0</v>
          </cell>
          <cell r="JH24">
            <v>2.6004</v>
          </cell>
          <cell r="JI24" t="str">
            <v>nd</v>
          </cell>
          <cell r="JJ24">
            <v>0</v>
          </cell>
          <cell r="JK24">
            <v>0</v>
          </cell>
          <cell r="JL24">
            <v>0</v>
          </cell>
          <cell r="JM24">
            <v>0</v>
          </cell>
          <cell r="JN24">
            <v>0</v>
          </cell>
          <cell r="JO24">
            <v>0</v>
          </cell>
          <cell r="JP24">
            <v>0</v>
          </cell>
          <cell r="JQ24">
            <v>0</v>
          </cell>
          <cell r="JR24">
            <v>0</v>
          </cell>
          <cell r="JS24">
            <v>0</v>
          </cell>
          <cell r="JT24">
            <v>4.5619899999999998</v>
          </cell>
          <cell r="JU24">
            <v>0</v>
          </cell>
          <cell r="JV24">
            <v>0</v>
          </cell>
          <cell r="JW24">
            <v>0</v>
          </cell>
          <cell r="JX24">
            <v>0</v>
          </cell>
          <cell r="JY24">
            <v>0</v>
          </cell>
          <cell r="JZ24">
            <v>47.628205000000001</v>
          </cell>
          <cell r="KA24">
            <v>0</v>
          </cell>
          <cell r="KB24">
            <v>0</v>
          </cell>
          <cell r="KC24">
            <v>0</v>
          </cell>
          <cell r="KD24">
            <v>0</v>
          </cell>
          <cell r="KE24">
            <v>0</v>
          </cell>
          <cell r="KF24">
            <v>44.266642300000001</v>
          </cell>
          <cell r="KG24">
            <v>0</v>
          </cell>
          <cell r="KH24">
            <v>0</v>
          </cell>
          <cell r="KI24">
            <v>0</v>
          </cell>
          <cell r="KJ24">
            <v>0</v>
          </cell>
          <cell r="KK24">
            <v>0</v>
          </cell>
          <cell r="KL24">
            <v>3.5431599999999999</v>
          </cell>
          <cell r="KM24">
            <v>71.7</v>
          </cell>
          <cell r="KN24">
            <v>12.4</v>
          </cell>
          <cell r="KO24">
            <v>4.8</v>
          </cell>
          <cell r="KP24">
            <v>6.9</v>
          </cell>
          <cell r="KQ24">
            <v>4.2</v>
          </cell>
          <cell r="KR24">
            <v>0</v>
          </cell>
          <cell r="KS24">
            <v>70.7</v>
          </cell>
          <cell r="KT24">
            <v>13</v>
          </cell>
          <cell r="KU24">
            <v>4.8</v>
          </cell>
          <cell r="KV24">
            <v>7.0000000000000009</v>
          </cell>
          <cell r="KW24">
            <v>4.3999999999999995</v>
          </cell>
          <cell r="KX24">
            <v>0</v>
          </cell>
          <cell r="KY24"/>
          <cell r="KZ24"/>
          <cell r="LA24"/>
          <cell r="LB24"/>
          <cell r="LC24"/>
          <cell r="LD24"/>
          <cell r="LE24"/>
          <cell r="LF24"/>
          <cell r="LG24"/>
          <cell r="LH24"/>
          <cell r="LI24"/>
          <cell r="LJ24"/>
          <cell r="LK24"/>
          <cell r="LL24"/>
          <cell r="LM24"/>
          <cell r="LN24"/>
          <cell r="LO24"/>
        </row>
        <row r="25">
          <cell r="A25" t="str">
            <v>4C3</v>
          </cell>
          <cell r="B25" t="str">
            <v>25</v>
          </cell>
          <cell r="C25" t="str">
            <v>NAF 17</v>
          </cell>
          <cell r="D25" t="str">
            <v>C3</v>
          </cell>
          <cell r="E25" t="str">
            <v>4</v>
          </cell>
          <cell r="F25" t="str">
            <v>nd</v>
          </cell>
          <cell r="G25">
            <v>11.4</v>
          </cell>
          <cell r="H25">
            <v>46.400000000000006</v>
          </cell>
          <cell r="I25">
            <v>32.6</v>
          </cell>
          <cell r="J25">
            <v>8.7999999999999989</v>
          </cell>
          <cell r="K25">
            <v>71.3</v>
          </cell>
          <cell r="L25">
            <v>7.1</v>
          </cell>
          <cell r="M25">
            <v>12.9</v>
          </cell>
          <cell r="N25">
            <v>8.6999999999999993</v>
          </cell>
          <cell r="O25">
            <v>39.1</v>
          </cell>
          <cell r="P25">
            <v>17.7</v>
          </cell>
          <cell r="Q25">
            <v>31.900000000000002</v>
          </cell>
          <cell r="R25">
            <v>8.2000000000000011</v>
          </cell>
          <cell r="S25">
            <v>9.7000000000000011</v>
          </cell>
          <cell r="T25">
            <v>49.5</v>
          </cell>
          <cell r="U25" t="str">
            <v>nd</v>
          </cell>
          <cell r="V25">
            <v>15</v>
          </cell>
          <cell r="W25">
            <v>11.799999999999999</v>
          </cell>
          <cell r="X25">
            <v>83</v>
          </cell>
          <cell r="Y25">
            <v>5.3</v>
          </cell>
          <cell r="Z25">
            <v>16.100000000000001</v>
          </cell>
          <cell r="AA25">
            <v>50.8</v>
          </cell>
          <cell r="AB25" t="str">
            <v>nd</v>
          </cell>
          <cell r="AC25">
            <v>68.600000000000009</v>
          </cell>
          <cell r="AD25">
            <v>26.3</v>
          </cell>
          <cell r="AE25">
            <v>75.900000000000006</v>
          </cell>
          <cell r="AF25">
            <v>24.099999999999998</v>
          </cell>
          <cell r="AG25">
            <v>84.7</v>
          </cell>
          <cell r="AH25">
            <v>15.299999999999999</v>
          </cell>
          <cell r="AI25">
            <v>57.099999999999994</v>
          </cell>
          <cell r="AJ25" t="str">
            <v>nd</v>
          </cell>
          <cell r="AK25" t="str">
            <v>nd</v>
          </cell>
          <cell r="AL25">
            <v>33.900000000000006</v>
          </cell>
          <cell r="AM25">
            <v>6.3</v>
          </cell>
          <cell r="AN25">
            <v>19.900000000000002</v>
          </cell>
          <cell r="AO25" t="str">
            <v>nd</v>
          </cell>
          <cell r="AP25">
            <v>3.5999999999999996</v>
          </cell>
          <cell r="AQ25">
            <v>64.8</v>
          </cell>
          <cell r="AR25">
            <v>9.9</v>
          </cell>
          <cell r="AS25">
            <v>57.499999999999993</v>
          </cell>
          <cell r="AT25">
            <v>23</v>
          </cell>
          <cell r="AU25">
            <v>7.1999999999999993</v>
          </cell>
          <cell r="AV25">
            <v>5.3</v>
          </cell>
          <cell r="AW25">
            <v>2.8000000000000003</v>
          </cell>
          <cell r="AX25">
            <v>4.2</v>
          </cell>
          <cell r="AY25" t="str">
            <v>nd</v>
          </cell>
          <cell r="AZ25">
            <v>1.7999999999999998</v>
          </cell>
          <cell r="BA25">
            <v>10.4</v>
          </cell>
          <cell r="BB25">
            <v>19.5</v>
          </cell>
          <cell r="BC25">
            <v>47.699999999999996</v>
          </cell>
          <cell r="BD25">
            <v>19.8</v>
          </cell>
          <cell r="BE25">
            <v>0</v>
          </cell>
          <cell r="BF25">
            <v>0</v>
          </cell>
          <cell r="BG25">
            <v>3.5999999999999996</v>
          </cell>
          <cell r="BH25">
            <v>12</v>
          </cell>
          <cell r="BI25">
            <v>42.199999999999996</v>
          </cell>
          <cell r="BJ25">
            <v>42.199999999999996</v>
          </cell>
          <cell r="BK25">
            <v>0</v>
          </cell>
          <cell r="BL25">
            <v>0</v>
          </cell>
          <cell r="BM25">
            <v>0</v>
          </cell>
          <cell r="BN25">
            <v>4.3999999999999995</v>
          </cell>
          <cell r="BO25">
            <v>86.8</v>
          </cell>
          <cell r="BP25">
            <v>8.7999999999999989</v>
          </cell>
          <cell r="BQ25">
            <v>0</v>
          </cell>
          <cell r="BR25">
            <v>0</v>
          </cell>
          <cell r="BS25" t="str">
            <v>nd</v>
          </cell>
          <cell r="BT25">
            <v>10.4</v>
          </cell>
          <cell r="BU25">
            <v>57.999999999999993</v>
          </cell>
          <cell r="BV25">
            <v>30.7</v>
          </cell>
          <cell r="BW25">
            <v>0</v>
          </cell>
          <cell r="BX25">
            <v>0</v>
          </cell>
          <cell r="BY25">
            <v>0</v>
          </cell>
          <cell r="BZ25">
            <v>0</v>
          </cell>
          <cell r="CA25">
            <v>0</v>
          </cell>
          <cell r="CB25">
            <v>100</v>
          </cell>
          <cell r="CC25">
            <v>10.9</v>
          </cell>
          <cell r="CD25">
            <v>16.5</v>
          </cell>
          <cell r="CE25" t="str">
            <v>nd</v>
          </cell>
          <cell r="CF25" t="str">
            <v>nd</v>
          </cell>
          <cell r="CG25">
            <v>0</v>
          </cell>
          <cell r="CH25">
            <v>16.8</v>
          </cell>
          <cell r="CI25">
            <v>6.4</v>
          </cell>
          <cell r="CJ25">
            <v>65.5</v>
          </cell>
          <cell r="CK25">
            <v>41.099999999999994</v>
          </cell>
          <cell r="CL25">
            <v>7.3</v>
          </cell>
          <cell r="CM25" t="str">
            <v>nd</v>
          </cell>
          <cell r="CN25" t="str">
            <v>nd</v>
          </cell>
          <cell r="CO25">
            <v>57.499999999999993</v>
          </cell>
          <cell r="CP25">
            <v>15.299999999999999</v>
          </cell>
          <cell r="CQ25">
            <v>35</v>
          </cell>
          <cell r="CR25">
            <v>15.6</v>
          </cell>
          <cell r="CS25">
            <v>34.1</v>
          </cell>
          <cell r="CT25">
            <v>14.299999999999999</v>
          </cell>
          <cell r="CU25">
            <v>85.7</v>
          </cell>
          <cell r="CV25">
            <v>9.3000000000000007</v>
          </cell>
          <cell r="CW25">
            <v>90.7</v>
          </cell>
          <cell r="CX25">
            <v>23.799999999999997</v>
          </cell>
          <cell r="CY25">
            <v>40.1</v>
          </cell>
          <cell r="CZ25">
            <v>36.1</v>
          </cell>
          <cell r="DA25">
            <v>31.4</v>
          </cell>
          <cell r="DB25">
            <v>0</v>
          </cell>
          <cell r="DC25" t="str">
            <v>nd</v>
          </cell>
          <cell r="DD25" t="str">
            <v>nd</v>
          </cell>
          <cell r="DE25">
            <v>69.899999999999991</v>
          </cell>
          <cell r="DF25">
            <v>12.9</v>
          </cell>
          <cell r="DG25">
            <v>9.3000000000000007</v>
          </cell>
          <cell r="DH25">
            <v>6.4</v>
          </cell>
          <cell r="DI25">
            <v>9.5</v>
          </cell>
          <cell r="DJ25">
            <v>36.9</v>
          </cell>
          <cell r="DK25">
            <v>25</v>
          </cell>
          <cell r="DL25">
            <v>17.100000000000001</v>
          </cell>
          <cell r="DM25">
            <v>57.699999999999996</v>
          </cell>
          <cell r="DN25">
            <v>5.3</v>
          </cell>
          <cell r="DO25">
            <v>11.1</v>
          </cell>
          <cell r="DP25">
            <v>3</v>
          </cell>
          <cell r="DQ25" t="str">
            <v>nd</v>
          </cell>
          <cell r="DR25">
            <v>21.7</v>
          </cell>
          <cell r="DS25">
            <v>14.6</v>
          </cell>
          <cell r="DT25">
            <v>22.3</v>
          </cell>
          <cell r="DU25">
            <v>0</v>
          </cell>
          <cell r="DV25">
            <v>0</v>
          </cell>
          <cell r="DW25">
            <v>0</v>
          </cell>
          <cell r="DX25">
            <v>0</v>
          </cell>
          <cell r="DY25">
            <v>0</v>
          </cell>
          <cell r="DZ25">
            <v>3.2035</v>
          </cell>
          <cell r="EA25">
            <v>3.0715300000000001</v>
          </cell>
          <cell r="EB25">
            <v>1.7351999999999999</v>
          </cell>
          <cell r="EC25">
            <v>3.2314599999999998</v>
          </cell>
          <cell r="ED25">
            <v>0</v>
          </cell>
          <cell r="EE25">
            <v>0</v>
          </cell>
          <cell r="EF25">
            <v>23.827469400000002</v>
          </cell>
          <cell r="EG25">
            <v>12.466230599999999</v>
          </cell>
          <cell r="EH25">
            <v>5.0910700000000002</v>
          </cell>
          <cell r="EI25" t="str">
            <v>nd</v>
          </cell>
          <cell r="EJ25" t="str">
            <v>nd</v>
          </cell>
          <cell r="EK25" t="str">
            <v>nd</v>
          </cell>
          <cell r="EL25">
            <v>22.770321299999999</v>
          </cell>
          <cell r="EM25">
            <v>6.8100349000000007</v>
          </cell>
          <cell r="EN25" t="str">
            <v>nd</v>
          </cell>
          <cell r="EO25">
            <v>0</v>
          </cell>
          <cell r="EP25" t="str">
            <v>nd</v>
          </cell>
          <cell r="EQ25">
            <v>1.3827499999999999</v>
          </cell>
          <cell r="ER25">
            <v>7.6500678999999998</v>
          </cell>
          <cell r="ES25" t="str">
            <v>nd</v>
          </cell>
          <cell r="ET25">
            <v>0</v>
          </cell>
          <cell r="EU25">
            <v>0</v>
          </cell>
          <cell r="EV25">
            <v>0</v>
          </cell>
          <cell r="EW25">
            <v>0</v>
          </cell>
          <cell r="EX25">
            <v>0</v>
          </cell>
          <cell r="EY25">
            <v>0</v>
          </cell>
          <cell r="EZ25">
            <v>0</v>
          </cell>
          <cell r="FA25">
            <v>0</v>
          </cell>
          <cell r="FB25">
            <v>0</v>
          </cell>
          <cell r="FC25">
            <v>0</v>
          </cell>
          <cell r="FD25" t="str">
            <v>nd</v>
          </cell>
          <cell r="FE25" t="str">
            <v>nd</v>
          </cell>
          <cell r="FF25">
            <v>5.4769499999999995</v>
          </cell>
          <cell r="FG25">
            <v>2.8350400000000002</v>
          </cell>
          <cell r="FH25" t="str">
            <v>nd</v>
          </cell>
          <cell r="FI25" t="str">
            <v>nd</v>
          </cell>
          <cell r="FJ25" t="str">
            <v>nd</v>
          </cell>
          <cell r="FK25">
            <v>3.5839500000000002</v>
          </cell>
          <cell r="FL25">
            <v>7.0485608000000006</v>
          </cell>
          <cell r="FM25">
            <v>28.037836100000003</v>
          </cell>
          <cell r="FN25">
            <v>6.9771256000000008</v>
          </cell>
          <cell r="FO25" t="str">
            <v>nd</v>
          </cell>
          <cell r="FP25" t="str">
            <v>nd</v>
          </cell>
          <cell r="FQ25">
            <v>4.25197</v>
          </cell>
          <cell r="FR25">
            <v>6.0104299999999995</v>
          </cell>
          <cell r="FS25">
            <v>12.0723767</v>
          </cell>
          <cell r="FT25">
            <v>10.316675500000001</v>
          </cell>
          <cell r="FU25">
            <v>0</v>
          </cell>
          <cell r="FV25">
            <v>0</v>
          </cell>
          <cell r="FW25" t="str">
            <v>nd</v>
          </cell>
          <cell r="FX25">
            <v>0.93813999999999997</v>
          </cell>
          <cell r="FY25">
            <v>4.7884599999999997</v>
          </cell>
          <cell r="FZ25" t="str">
            <v>nd</v>
          </cell>
          <cell r="GA25">
            <v>0</v>
          </cell>
          <cell r="GB25">
            <v>0</v>
          </cell>
          <cell r="GC25">
            <v>0</v>
          </cell>
          <cell r="GD25">
            <v>0</v>
          </cell>
          <cell r="GE25">
            <v>0</v>
          </cell>
          <cell r="GF25">
            <v>0</v>
          </cell>
          <cell r="GG25">
            <v>0</v>
          </cell>
          <cell r="GH25">
            <v>2.3523000000000001</v>
          </cell>
          <cell r="GI25">
            <v>4.5219299999999993</v>
          </cell>
          <cell r="GJ25">
            <v>2.6322899999999998</v>
          </cell>
          <cell r="GK25">
            <v>1.8818899999999998</v>
          </cell>
          <cell r="GL25">
            <v>0</v>
          </cell>
          <cell r="GM25">
            <v>0</v>
          </cell>
          <cell r="GN25" t="str">
            <v>nd</v>
          </cell>
          <cell r="GO25">
            <v>7.4786462999999994</v>
          </cell>
          <cell r="GP25">
            <v>18.613842200000001</v>
          </cell>
          <cell r="GQ25">
            <v>19.273743</v>
          </cell>
          <cell r="GR25">
            <v>0</v>
          </cell>
          <cell r="GS25">
            <v>0</v>
          </cell>
          <cell r="GT25">
            <v>0</v>
          </cell>
          <cell r="GU25">
            <v>0</v>
          </cell>
          <cell r="GV25">
            <v>15.605451800000001</v>
          </cell>
          <cell r="GW25">
            <v>17.8246915</v>
          </cell>
          <cell r="GX25">
            <v>0</v>
          </cell>
          <cell r="GY25">
            <v>0</v>
          </cell>
          <cell r="GZ25">
            <v>0</v>
          </cell>
          <cell r="HA25">
            <v>0</v>
          </cell>
          <cell r="HB25">
            <v>5.3866900000000006</v>
          </cell>
          <cell r="HC25">
            <v>3.20791</v>
          </cell>
          <cell r="HD25">
            <v>0</v>
          </cell>
          <cell r="HE25">
            <v>0</v>
          </cell>
          <cell r="HF25">
            <v>0</v>
          </cell>
          <cell r="HG25">
            <v>0</v>
          </cell>
          <cell r="HH25">
            <v>0</v>
          </cell>
          <cell r="HI25">
            <v>0</v>
          </cell>
          <cell r="HJ25">
            <v>0</v>
          </cell>
          <cell r="HK25">
            <v>0</v>
          </cell>
          <cell r="HL25">
            <v>0</v>
          </cell>
          <cell r="HM25">
            <v>9.9539484999999992</v>
          </cell>
          <cell r="HN25" t="str">
            <v>nd</v>
          </cell>
          <cell r="HO25">
            <v>0</v>
          </cell>
          <cell r="HP25">
            <v>0</v>
          </cell>
          <cell r="HQ25">
            <v>0</v>
          </cell>
          <cell r="HR25">
            <v>2.3359100000000002</v>
          </cell>
          <cell r="HS25">
            <v>42.560578599999999</v>
          </cell>
          <cell r="HT25">
            <v>1.9023999999999999</v>
          </cell>
          <cell r="HU25">
            <v>0</v>
          </cell>
          <cell r="HV25">
            <v>0</v>
          </cell>
          <cell r="HW25">
            <v>0</v>
          </cell>
          <cell r="HX25" t="str">
            <v>nd</v>
          </cell>
          <cell r="HY25">
            <v>28.4079382</v>
          </cell>
          <cell r="HZ25">
            <v>4.2639800000000001</v>
          </cell>
          <cell r="IA25">
            <v>0</v>
          </cell>
          <cell r="IB25">
            <v>0</v>
          </cell>
          <cell r="IC25">
            <v>0</v>
          </cell>
          <cell r="ID25" t="str">
            <v>nd</v>
          </cell>
          <cell r="IE25">
            <v>5.8917200000000003</v>
          </cell>
          <cell r="IF25">
            <v>1.76938</v>
          </cell>
          <cell r="IG25">
            <v>0</v>
          </cell>
          <cell r="IH25">
            <v>0</v>
          </cell>
          <cell r="II25">
            <v>0</v>
          </cell>
          <cell r="IJ25">
            <v>0</v>
          </cell>
          <cell r="IK25">
            <v>0</v>
          </cell>
          <cell r="IL25">
            <v>0</v>
          </cell>
          <cell r="IM25">
            <v>0</v>
          </cell>
          <cell r="IN25">
            <v>0</v>
          </cell>
          <cell r="IO25">
            <v>2.3436400000000002</v>
          </cell>
          <cell r="IP25">
            <v>6.9151681000000007</v>
          </cell>
          <cell r="IQ25" t="str">
            <v>nd</v>
          </cell>
          <cell r="IR25">
            <v>0</v>
          </cell>
          <cell r="IS25">
            <v>0</v>
          </cell>
          <cell r="IT25" t="str">
            <v>nd</v>
          </cell>
          <cell r="IU25">
            <v>4.9832599999999996</v>
          </cell>
          <cell r="IV25">
            <v>27.700849399999999</v>
          </cell>
          <cell r="IW25">
            <v>14.0196801</v>
          </cell>
          <cell r="IX25">
            <v>0</v>
          </cell>
          <cell r="IY25">
            <v>0</v>
          </cell>
          <cell r="IZ25">
            <v>0</v>
          </cell>
          <cell r="JA25">
            <v>2.7046700000000001</v>
          </cell>
          <cell r="JB25">
            <v>20.456338900000002</v>
          </cell>
          <cell r="JC25">
            <v>9.6010183999999992</v>
          </cell>
          <cell r="JD25">
            <v>0</v>
          </cell>
          <cell r="JE25">
            <v>0</v>
          </cell>
          <cell r="JF25">
            <v>0</v>
          </cell>
          <cell r="JG25" t="str">
            <v>nd</v>
          </cell>
          <cell r="JH25">
            <v>2.9556900000000002</v>
          </cell>
          <cell r="JI25">
            <v>4.9424000000000001</v>
          </cell>
          <cell r="JJ25">
            <v>0</v>
          </cell>
          <cell r="JK25">
            <v>0</v>
          </cell>
          <cell r="JL25">
            <v>0</v>
          </cell>
          <cell r="JM25">
            <v>0</v>
          </cell>
          <cell r="JN25">
            <v>0</v>
          </cell>
          <cell r="JO25">
            <v>0</v>
          </cell>
          <cell r="JP25">
            <v>0</v>
          </cell>
          <cell r="JQ25">
            <v>0</v>
          </cell>
          <cell r="JR25">
            <v>0</v>
          </cell>
          <cell r="JS25">
            <v>0</v>
          </cell>
          <cell r="JT25">
            <v>11.3587062</v>
          </cell>
          <cell r="JU25">
            <v>0</v>
          </cell>
          <cell r="JV25">
            <v>0</v>
          </cell>
          <cell r="JW25">
            <v>0</v>
          </cell>
          <cell r="JX25">
            <v>0</v>
          </cell>
          <cell r="JY25">
            <v>0</v>
          </cell>
          <cell r="JZ25">
            <v>47.811023300000002</v>
          </cell>
          <cell r="KA25">
            <v>0</v>
          </cell>
          <cell r="KB25">
            <v>0</v>
          </cell>
          <cell r="KC25">
            <v>0</v>
          </cell>
          <cell r="KD25">
            <v>0</v>
          </cell>
          <cell r="KE25">
            <v>0</v>
          </cell>
          <cell r="KF25">
            <v>32.562373900000004</v>
          </cell>
          <cell r="KG25">
            <v>0</v>
          </cell>
          <cell r="KH25">
            <v>0</v>
          </cell>
          <cell r="KI25">
            <v>0</v>
          </cell>
          <cell r="KJ25">
            <v>0</v>
          </cell>
          <cell r="KK25">
            <v>0</v>
          </cell>
          <cell r="KL25">
            <v>8.2678966000000003</v>
          </cell>
          <cell r="KM25">
            <v>68.2</v>
          </cell>
          <cell r="KN25">
            <v>12.7</v>
          </cell>
          <cell r="KO25">
            <v>6.3</v>
          </cell>
          <cell r="KP25">
            <v>7.1</v>
          </cell>
          <cell r="KQ25">
            <v>5.6000000000000005</v>
          </cell>
          <cell r="KR25">
            <v>0</v>
          </cell>
          <cell r="KS25">
            <v>66.5</v>
          </cell>
          <cell r="KT25">
            <v>13.3</v>
          </cell>
          <cell r="KU25">
            <v>6.8000000000000007</v>
          </cell>
          <cell r="KV25">
            <v>7.3</v>
          </cell>
          <cell r="KW25">
            <v>6.1</v>
          </cell>
          <cell r="KX25">
            <v>0</v>
          </cell>
          <cell r="KY25"/>
          <cell r="KZ25"/>
          <cell r="LA25"/>
          <cell r="LB25"/>
          <cell r="LC25"/>
          <cell r="LD25"/>
          <cell r="LE25"/>
          <cell r="LF25"/>
          <cell r="LG25"/>
          <cell r="LH25"/>
          <cell r="LI25"/>
          <cell r="LJ25"/>
          <cell r="LK25"/>
          <cell r="LL25"/>
          <cell r="LM25"/>
          <cell r="LN25"/>
          <cell r="LO25"/>
        </row>
        <row r="26">
          <cell r="A26" t="str">
            <v>5C3</v>
          </cell>
          <cell r="B26" t="str">
            <v>26</v>
          </cell>
          <cell r="C26" t="str">
            <v>NAF 17</v>
          </cell>
          <cell r="D26" t="str">
            <v>C3</v>
          </cell>
          <cell r="E26" t="str">
            <v>5</v>
          </cell>
          <cell r="F26">
            <v>0</v>
          </cell>
          <cell r="G26">
            <v>10</v>
          </cell>
          <cell r="H26">
            <v>58.3</v>
          </cell>
          <cell r="I26">
            <v>22.1</v>
          </cell>
          <cell r="J26">
            <v>9.7000000000000011</v>
          </cell>
          <cell r="K26">
            <v>65.400000000000006</v>
          </cell>
          <cell r="L26">
            <v>7.3999999999999995</v>
          </cell>
          <cell r="M26">
            <v>16.100000000000001</v>
          </cell>
          <cell r="N26" t="str">
            <v>nd</v>
          </cell>
          <cell r="O26">
            <v>38.5</v>
          </cell>
          <cell r="P26">
            <v>33</v>
          </cell>
          <cell r="Q26">
            <v>34.699999999999996</v>
          </cell>
          <cell r="R26">
            <v>10</v>
          </cell>
          <cell r="S26">
            <v>7.1</v>
          </cell>
          <cell r="T26">
            <v>43</v>
          </cell>
          <cell r="U26" t="str">
            <v>nd</v>
          </cell>
          <cell r="V26">
            <v>12.2</v>
          </cell>
          <cell r="W26">
            <v>15.2</v>
          </cell>
          <cell r="X26">
            <v>82.699999999999989</v>
          </cell>
          <cell r="Y26" t="str">
            <v>nd</v>
          </cell>
          <cell r="Z26" t="str">
            <v>nd</v>
          </cell>
          <cell r="AA26">
            <v>66</v>
          </cell>
          <cell r="AB26">
            <v>30.7</v>
          </cell>
          <cell r="AC26">
            <v>54.2</v>
          </cell>
          <cell r="AD26" t="str">
            <v>nd</v>
          </cell>
          <cell r="AE26">
            <v>79.600000000000009</v>
          </cell>
          <cell r="AF26">
            <v>20.399999999999999</v>
          </cell>
          <cell r="AG26">
            <v>81.3</v>
          </cell>
          <cell r="AH26">
            <v>18.7</v>
          </cell>
          <cell r="AI26">
            <v>50.9</v>
          </cell>
          <cell r="AJ26" t="str">
            <v>nd</v>
          </cell>
          <cell r="AK26">
            <v>7.1999999999999993</v>
          </cell>
          <cell r="AL26">
            <v>34.1</v>
          </cell>
          <cell r="AM26">
            <v>6.9</v>
          </cell>
          <cell r="AN26">
            <v>22.8</v>
          </cell>
          <cell r="AO26">
            <v>5.3</v>
          </cell>
          <cell r="AP26">
            <v>6.7</v>
          </cell>
          <cell r="AQ26">
            <v>55.500000000000007</v>
          </cell>
          <cell r="AR26">
            <v>9.6</v>
          </cell>
          <cell r="AS26">
            <v>37.9</v>
          </cell>
          <cell r="AT26">
            <v>40.300000000000004</v>
          </cell>
          <cell r="AU26">
            <v>10.5</v>
          </cell>
          <cell r="AV26">
            <v>7.1</v>
          </cell>
          <cell r="AW26">
            <v>2.1999999999999997</v>
          </cell>
          <cell r="AX26" t="str">
            <v>nd</v>
          </cell>
          <cell r="AY26">
            <v>6.2</v>
          </cell>
          <cell r="AZ26">
            <v>4.8</v>
          </cell>
          <cell r="BA26">
            <v>7.6</v>
          </cell>
          <cell r="BB26">
            <v>48.1</v>
          </cell>
          <cell r="BC26">
            <v>31.900000000000002</v>
          </cell>
          <cell r="BD26" t="str">
            <v>nd</v>
          </cell>
          <cell r="BE26" t="str">
            <v>nd</v>
          </cell>
          <cell r="BF26" t="str">
            <v>nd</v>
          </cell>
          <cell r="BG26">
            <v>4</v>
          </cell>
          <cell r="BH26">
            <v>5.0999999999999996</v>
          </cell>
          <cell r="BI26">
            <v>49.4</v>
          </cell>
          <cell r="BJ26">
            <v>37.799999999999997</v>
          </cell>
          <cell r="BK26">
            <v>0</v>
          </cell>
          <cell r="BL26">
            <v>0</v>
          </cell>
          <cell r="BM26">
            <v>0</v>
          </cell>
          <cell r="BN26">
            <v>4.7</v>
          </cell>
          <cell r="BO26">
            <v>92.4</v>
          </cell>
          <cell r="BP26">
            <v>2.9000000000000004</v>
          </cell>
          <cell r="BQ26">
            <v>0</v>
          </cell>
          <cell r="BR26">
            <v>0</v>
          </cell>
          <cell r="BS26">
            <v>0</v>
          </cell>
          <cell r="BT26">
            <v>17.599999999999998</v>
          </cell>
          <cell r="BU26">
            <v>75.5</v>
          </cell>
          <cell r="BV26">
            <v>6.9</v>
          </cell>
          <cell r="BW26">
            <v>0</v>
          </cell>
          <cell r="BX26">
            <v>0</v>
          </cell>
          <cell r="BY26">
            <v>0</v>
          </cell>
          <cell r="BZ26">
            <v>0</v>
          </cell>
          <cell r="CA26">
            <v>0</v>
          </cell>
          <cell r="CB26">
            <v>100</v>
          </cell>
          <cell r="CC26">
            <v>19</v>
          </cell>
          <cell r="CD26">
            <v>24.5</v>
          </cell>
          <cell r="CE26">
            <v>0</v>
          </cell>
          <cell r="CF26">
            <v>0</v>
          </cell>
          <cell r="CG26">
            <v>0</v>
          </cell>
          <cell r="CH26">
            <v>22.400000000000002</v>
          </cell>
          <cell r="CI26">
            <v>7.1999999999999993</v>
          </cell>
          <cell r="CJ26">
            <v>52.7</v>
          </cell>
          <cell r="CK26">
            <v>52.6</v>
          </cell>
          <cell r="CL26">
            <v>10.8</v>
          </cell>
          <cell r="CM26" t="str">
            <v>nd</v>
          </cell>
          <cell r="CN26">
            <v>0</v>
          </cell>
          <cell r="CO26">
            <v>45.6</v>
          </cell>
          <cell r="CP26">
            <v>21.3</v>
          </cell>
          <cell r="CQ26">
            <v>29.799999999999997</v>
          </cell>
          <cell r="CR26">
            <v>17.7</v>
          </cell>
          <cell r="CS26">
            <v>31.2</v>
          </cell>
          <cell r="CT26">
            <v>19.3</v>
          </cell>
          <cell r="CU26">
            <v>80.7</v>
          </cell>
          <cell r="CV26">
            <v>14.299999999999999</v>
          </cell>
          <cell r="CW26">
            <v>85.7</v>
          </cell>
          <cell r="CX26">
            <v>22.3</v>
          </cell>
          <cell r="CY26">
            <v>39</v>
          </cell>
          <cell r="CZ26">
            <v>38.700000000000003</v>
          </cell>
          <cell r="DA26" t="str">
            <v>nd</v>
          </cell>
          <cell r="DB26">
            <v>0</v>
          </cell>
          <cell r="DC26" t="str">
            <v>nd</v>
          </cell>
          <cell r="DD26">
            <v>0</v>
          </cell>
          <cell r="DE26">
            <v>85</v>
          </cell>
          <cell r="DF26">
            <v>9.8000000000000007</v>
          </cell>
          <cell r="DG26">
            <v>6.8000000000000007</v>
          </cell>
          <cell r="DH26">
            <v>10.9</v>
          </cell>
          <cell r="DI26">
            <v>24.3</v>
          </cell>
          <cell r="DJ26">
            <v>24.3</v>
          </cell>
          <cell r="DK26">
            <v>24</v>
          </cell>
          <cell r="DL26">
            <v>12.2</v>
          </cell>
          <cell r="DM26">
            <v>51.800000000000004</v>
          </cell>
          <cell r="DN26">
            <v>4.5999999999999996</v>
          </cell>
          <cell r="DO26">
            <v>22.5</v>
          </cell>
          <cell r="DP26">
            <v>2.5</v>
          </cell>
          <cell r="DQ26">
            <v>5.4</v>
          </cell>
          <cell r="DR26">
            <v>33.4</v>
          </cell>
          <cell r="DS26">
            <v>13.600000000000001</v>
          </cell>
          <cell r="DT26">
            <v>14.6</v>
          </cell>
          <cell r="DU26">
            <v>0</v>
          </cell>
          <cell r="DV26">
            <v>0</v>
          </cell>
          <cell r="DW26">
            <v>0</v>
          </cell>
          <cell r="DX26">
            <v>0</v>
          </cell>
          <cell r="DY26">
            <v>0</v>
          </cell>
          <cell r="DZ26">
            <v>4.0266799999999998</v>
          </cell>
          <cell r="EA26">
            <v>3.51878</v>
          </cell>
          <cell r="EB26" t="str">
            <v>nd</v>
          </cell>
          <cell r="EC26">
            <v>0</v>
          </cell>
          <cell r="ED26" t="str">
            <v>nd</v>
          </cell>
          <cell r="EE26">
            <v>0</v>
          </cell>
          <cell r="EF26">
            <v>14.593134099999999</v>
          </cell>
          <cell r="EG26">
            <v>28.391456799999997</v>
          </cell>
          <cell r="EH26">
            <v>7.7158579000000005</v>
          </cell>
          <cell r="EI26">
            <v>4.8757399999999995</v>
          </cell>
          <cell r="EJ26" t="str">
            <v>nd</v>
          </cell>
          <cell r="EK26" t="str">
            <v>nd</v>
          </cell>
          <cell r="EL26">
            <v>14.549712400000001</v>
          </cell>
          <cell r="EM26">
            <v>4.7253799999999995</v>
          </cell>
          <cell r="EN26" t="str">
            <v>nd</v>
          </cell>
          <cell r="EO26" t="str">
            <v>nd</v>
          </cell>
          <cell r="EP26" t="str">
            <v>nd</v>
          </cell>
          <cell r="EQ26">
            <v>0</v>
          </cell>
          <cell r="ER26">
            <v>4.68527</v>
          </cell>
          <cell r="ES26">
            <v>3.7021199999999999</v>
          </cell>
          <cell r="ET26">
            <v>0</v>
          </cell>
          <cell r="EU26" t="str">
            <v>nd</v>
          </cell>
          <cell r="EV26">
            <v>0</v>
          </cell>
          <cell r="EW26">
            <v>0</v>
          </cell>
          <cell r="EX26">
            <v>0</v>
          </cell>
          <cell r="EY26">
            <v>0</v>
          </cell>
          <cell r="EZ26">
            <v>0</v>
          </cell>
          <cell r="FA26">
            <v>0</v>
          </cell>
          <cell r="FB26">
            <v>0</v>
          </cell>
          <cell r="FC26" t="str">
            <v>nd</v>
          </cell>
          <cell r="FD26">
            <v>0</v>
          </cell>
          <cell r="FE26">
            <v>0</v>
          </cell>
          <cell r="FF26">
            <v>6.2611786</v>
          </cell>
          <cell r="FG26">
            <v>2.9419299999999997</v>
          </cell>
          <cell r="FH26">
            <v>0</v>
          </cell>
          <cell r="FI26" t="str">
            <v>nd</v>
          </cell>
          <cell r="FJ26">
            <v>3.7737500000000002</v>
          </cell>
          <cell r="FK26">
            <v>4.8019699999999998</v>
          </cell>
          <cell r="FL26">
            <v>29.151967499999998</v>
          </cell>
          <cell r="FM26">
            <v>15.504220499999999</v>
          </cell>
          <cell r="FN26" t="str">
            <v>nd</v>
          </cell>
          <cell r="FO26" t="str">
            <v>nd</v>
          </cell>
          <cell r="FP26" t="str">
            <v>nd</v>
          </cell>
          <cell r="FQ26" t="str">
            <v>nd</v>
          </cell>
          <cell r="FR26">
            <v>9.9868109</v>
          </cell>
          <cell r="FS26">
            <v>8.7291046999999988</v>
          </cell>
          <cell r="FT26" t="str">
            <v>nd</v>
          </cell>
          <cell r="FU26">
            <v>0</v>
          </cell>
          <cell r="FV26">
            <v>0</v>
          </cell>
          <cell r="FW26" t="str">
            <v>nd</v>
          </cell>
          <cell r="FX26" t="str">
            <v>nd</v>
          </cell>
          <cell r="FY26">
            <v>4.68527</v>
          </cell>
          <cell r="FZ26">
            <v>0</v>
          </cell>
          <cell r="GA26">
            <v>0</v>
          </cell>
          <cell r="GB26">
            <v>0</v>
          </cell>
          <cell r="GC26">
            <v>0</v>
          </cell>
          <cell r="GD26">
            <v>0</v>
          </cell>
          <cell r="GE26">
            <v>0</v>
          </cell>
          <cell r="GF26">
            <v>0</v>
          </cell>
          <cell r="GG26" t="str">
            <v>nd</v>
          </cell>
          <cell r="GH26" t="str">
            <v>nd</v>
          </cell>
          <cell r="GI26" t="str">
            <v>nd</v>
          </cell>
          <cell r="GJ26">
            <v>4.6518499999999996</v>
          </cell>
          <cell r="GK26">
            <v>2.40089</v>
          </cell>
          <cell r="GL26" t="str">
            <v>nd</v>
          </cell>
          <cell r="GM26" t="str">
            <v>nd</v>
          </cell>
          <cell r="GN26" t="str">
            <v>nd</v>
          </cell>
          <cell r="GO26">
            <v>4.6234999999999999</v>
          </cell>
          <cell r="GP26">
            <v>32.635256900000002</v>
          </cell>
          <cell r="GQ26">
            <v>17.164841599999999</v>
          </cell>
          <cell r="GR26">
            <v>0</v>
          </cell>
          <cell r="GS26">
            <v>0</v>
          </cell>
          <cell r="GT26" t="str">
            <v>nd</v>
          </cell>
          <cell r="GU26">
            <v>0</v>
          </cell>
          <cell r="GV26">
            <v>8.2945142000000001</v>
          </cell>
          <cell r="GW26">
            <v>13.119792599999998</v>
          </cell>
          <cell r="GX26">
            <v>0</v>
          </cell>
          <cell r="GY26">
            <v>0</v>
          </cell>
          <cell r="GZ26">
            <v>0</v>
          </cell>
          <cell r="HA26">
            <v>0</v>
          </cell>
          <cell r="HB26">
            <v>3.84619</v>
          </cell>
          <cell r="HC26">
            <v>5.1369299999999996</v>
          </cell>
          <cell r="HD26">
            <v>0</v>
          </cell>
          <cell r="HE26">
            <v>0</v>
          </cell>
          <cell r="HF26">
            <v>0</v>
          </cell>
          <cell r="HG26">
            <v>0</v>
          </cell>
          <cell r="HH26">
            <v>0</v>
          </cell>
          <cell r="HI26">
            <v>0</v>
          </cell>
          <cell r="HJ26">
            <v>0</v>
          </cell>
          <cell r="HK26">
            <v>0</v>
          </cell>
          <cell r="HL26">
            <v>0</v>
          </cell>
          <cell r="HM26">
            <v>9.1871469000000001</v>
          </cell>
          <cell r="HN26" t="str">
            <v>nd</v>
          </cell>
          <cell r="HO26">
            <v>0</v>
          </cell>
          <cell r="HP26">
            <v>0</v>
          </cell>
          <cell r="HQ26">
            <v>0</v>
          </cell>
          <cell r="HR26" t="str">
            <v>nd</v>
          </cell>
          <cell r="HS26">
            <v>55.646325699999998</v>
          </cell>
          <cell r="HT26">
            <v>0</v>
          </cell>
          <cell r="HU26">
            <v>0</v>
          </cell>
          <cell r="HV26">
            <v>0</v>
          </cell>
          <cell r="HW26">
            <v>0</v>
          </cell>
          <cell r="HX26">
            <v>0</v>
          </cell>
          <cell r="HY26">
            <v>20.254788600000001</v>
          </cell>
          <cell r="HZ26" t="str">
            <v>nd</v>
          </cell>
          <cell r="IA26">
            <v>0</v>
          </cell>
          <cell r="IB26">
            <v>0</v>
          </cell>
          <cell r="IC26">
            <v>0</v>
          </cell>
          <cell r="ID26" t="str">
            <v>nd</v>
          </cell>
          <cell r="IE26">
            <v>7.3123357000000002</v>
          </cell>
          <cell r="IF26">
            <v>0</v>
          </cell>
          <cell r="IG26">
            <v>0</v>
          </cell>
          <cell r="IH26">
            <v>0</v>
          </cell>
          <cell r="II26">
            <v>0</v>
          </cell>
          <cell r="IJ26">
            <v>0</v>
          </cell>
          <cell r="IK26">
            <v>0</v>
          </cell>
          <cell r="IL26">
            <v>0</v>
          </cell>
          <cell r="IM26">
            <v>0</v>
          </cell>
          <cell r="IN26">
            <v>0</v>
          </cell>
          <cell r="IO26" t="str">
            <v>nd</v>
          </cell>
          <cell r="IP26">
            <v>6.7889615000000001</v>
          </cell>
          <cell r="IQ26" t="str">
            <v>nd</v>
          </cell>
          <cell r="IR26">
            <v>0</v>
          </cell>
          <cell r="IS26">
            <v>0</v>
          </cell>
          <cell r="IT26">
            <v>0</v>
          </cell>
          <cell r="IU26">
            <v>13.2392328</v>
          </cell>
          <cell r="IV26">
            <v>42.369621200000005</v>
          </cell>
          <cell r="IW26">
            <v>3.2727399999999998</v>
          </cell>
          <cell r="IX26">
            <v>0</v>
          </cell>
          <cell r="IY26">
            <v>0</v>
          </cell>
          <cell r="IZ26">
            <v>0</v>
          </cell>
          <cell r="JA26" t="str">
            <v>nd</v>
          </cell>
          <cell r="JB26">
            <v>18.606627599999999</v>
          </cell>
          <cell r="JC26" t="str">
            <v>nd</v>
          </cell>
          <cell r="JD26">
            <v>0</v>
          </cell>
          <cell r="JE26">
            <v>0</v>
          </cell>
          <cell r="JF26">
            <v>0</v>
          </cell>
          <cell r="JG26">
            <v>0</v>
          </cell>
          <cell r="JH26">
            <v>7.8162774000000006</v>
          </cell>
          <cell r="JI26" t="str">
            <v>nd</v>
          </cell>
          <cell r="JJ26">
            <v>0</v>
          </cell>
          <cell r="JK26">
            <v>0</v>
          </cell>
          <cell r="JL26">
            <v>0</v>
          </cell>
          <cell r="JM26">
            <v>0</v>
          </cell>
          <cell r="JN26">
            <v>0</v>
          </cell>
          <cell r="JO26">
            <v>0</v>
          </cell>
          <cell r="JP26">
            <v>0</v>
          </cell>
          <cell r="JQ26">
            <v>0</v>
          </cell>
          <cell r="JR26">
            <v>0</v>
          </cell>
          <cell r="JS26">
            <v>0</v>
          </cell>
          <cell r="JT26">
            <v>9.949037800000001</v>
          </cell>
          <cell r="JU26">
            <v>0</v>
          </cell>
          <cell r="JV26">
            <v>0</v>
          </cell>
          <cell r="JW26">
            <v>0</v>
          </cell>
          <cell r="JX26">
            <v>0</v>
          </cell>
          <cell r="JY26">
            <v>0</v>
          </cell>
          <cell r="JZ26">
            <v>58.687951500000004</v>
          </cell>
          <cell r="KA26">
            <v>0</v>
          </cell>
          <cell r="KB26">
            <v>0</v>
          </cell>
          <cell r="KC26">
            <v>0</v>
          </cell>
          <cell r="KD26">
            <v>0</v>
          </cell>
          <cell r="KE26">
            <v>0</v>
          </cell>
          <cell r="KF26">
            <v>22.379883299999999</v>
          </cell>
          <cell r="KG26">
            <v>0</v>
          </cell>
          <cell r="KH26">
            <v>0</v>
          </cell>
          <cell r="KI26">
            <v>0</v>
          </cell>
          <cell r="KJ26">
            <v>0</v>
          </cell>
          <cell r="KK26">
            <v>0</v>
          </cell>
          <cell r="KL26">
            <v>8.9831274000000008</v>
          </cell>
          <cell r="KM26">
            <v>61</v>
          </cell>
          <cell r="KN26">
            <v>20.5</v>
          </cell>
          <cell r="KO26">
            <v>6.2</v>
          </cell>
          <cell r="KP26">
            <v>5.3</v>
          </cell>
          <cell r="KQ26">
            <v>7.0000000000000009</v>
          </cell>
          <cell r="KR26">
            <v>0</v>
          </cell>
          <cell r="KS26">
            <v>57.699999999999996</v>
          </cell>
          <cell r="KT26">
            <v>23</v>
          </cell>
          <cell r="KU26">
            <v>6.1</v>
          </cell>
          <cell r="KV26">
            <v>5.3</v>
          </cell>
          <cell r="KW26">
            <v>7.8</v>
          </cell>
          <cell r="KX26">
            <v>0</v>
          </cell>
          <cell r="KY26"/>
          <cell r="KZ26"/>
          <cell r="LA26"/>
          <cell r="LB26"/>
          <cell r="LC26"/>
          <cell r="LD26"/>
          <cell r="LE26"/>
          <cell r="LF26"/>
          <cell r="LG26"/>
          <cell r="LH26"/>
          <cell r="LI26"/>
          <cell r="LJ26"/>
          <cell r="LK26"/>
          <cell r="LL26"/>
          <cell r="LM26"/>
          <cell r="LN26"/>
          <cell r="LO26"/>
        </row>
        <row r="27">
          <cell r="A27" t="str">
            <v>6C3</v>
          </cell>
          <cell r="B27" t="str">
            <v>27</v>
          </cell>
          <cell r="C27" t="str">
            <v>NAF 17</v>
          </cell>
          <cell r="D27" t="str">
            <v>C3</v>
          </cell>
          <cell r="E27" t="str">
            <v>6</v>
          </cell>
          <cell r="F27">
            <v>0</v>
          </cell>
          <cell r="G27">
            <v>14.299999999999999</v>
          </cell>
          <cell r="H27">
            <v>33.900000000000006</v>
          </cell>
          <cell r="I27">
            <v>47.699999999999996</v>
          </cell>
          <cell r="J27">
            <v>4.1000000000000005</v>
          </cell>
          <cell r="K27">
            <v>75.599999999999994</v>
          </cell>
          <cell r="L27">
            <v>0</v>
          </cell>
          <cell r="M27">
            <v>22.6</v>
          </cell>
          <cell r="N27" t="str">
            <v>nd</v>
          </cell>
          <cell r="O27">
            <v>28.599999999999998</v>
          </cell>
          <cell r="P27">
            <v>39.800000000000004</v>
          </cell>
          <cell r="Q27">
            <v>34.200000000000003</v>
          </cell>
          <cell r="R27">
            <v>12.1</v>
          </cell>
          <cell r="S27">
            <v>4.9000000000000004</v>
          </cell>
          <cell r="T27">
            <v>40.5</v>
          </cell>
          <cell r="U27" t="str">
            <v>nd</v>
          </cell>
          <cell r="V27">
            <v>17.5</v>
          </cell>
          <cell r="W27">
            <v>19.7</v>
          </cell>
          <cell r="X27">
            <v>79.3</v>
          </cell>
          <cell r="Y27" t="str">
            <v>nd</v>
          </cell>
          <cell r="Z27" t="str">
            <v>nd</v>
          </cell>
          <cell r="AA27">
            <v>45.300000000000004</v>
          </cell>
          <cell r="AB27">
            <v>0</v>
          </cell>
          <cell r="AC27">
            <v>74.2</v>
          </cell>
          <cell r="AD27">
            <v>26.400000000000002</v>
          </cell>
          <cell r="AE27">
            <v>78.100000000000009</v>
          </cell>
          <cell r="AF27">
            <v>21.9</v>
          </cell>
          <cell r="AG27">
            <v>93.100000000000009</v>
          </cell>
          <cell r="AH27">
            <v>6.9</v>
          </cell>
          <cell r="AI27">
            <v>41.4</v>
          </cell>
          <cell r="AJ27" t="str">
            <v>nd</v>
          </cell>
          <cell r="AK27" t="str">
            <v>nd</v>
          </cell>
          <cell r="AL27">
            <v>32.4</v>
          </cell>
          <cell r="AM27">
            <v>20.7</v>
          </cell>
          <cell r="AN27">
            <v>5.6000000000000005</v>
          </cell>
          <cell r="AO27">
            <v>14.499999999999998</v>
          </cell>
          <cell r="AP27">
            <v>8.4</v>
          </cell>
          <cell r="AQ27">
            <v>55.800000000000004</v>
          </cell>
          <cell r="AR27">
            <v>15.7</v>
          </cell>
          <cell r="AS27">
            <v>25.6</v>
          </cell>
          <cell r="AT27">
            <v>35</v>
          </cell>
          <cell r="AU27">
            <v>21.8</v>
          </cell>
          <cell r="AV27">
            <v>6.9</v>
          </cell>
          <cell r="AW27">
            <v>9.5</v>
          </cell>
          <cell r="AX27">
            <v>1.2</v>
          </cell>
          <cell r="AY27">
            <v>9.9</v>
          </cell>
          <cell r="AZ27">
            <v>15.7</v>
          </cell>
          <cell r="BA27">
            <v>29.299999999999997</v>
          </cell>
          <cell r="BB27">
            <v>23.400000000000002</v>
          </cell>
          <cell r="BC27">
            <v>20.3</v>
          </cell>
          <cell r="BD27">
            <v>1.4000000000000001</v>
          </cell>
          <cell r="BE27">
            <v>0</v>
          </cell>
          <cell r="BF27" t="str">
            <v>nd</v>
          </cell>
          <cell r="BG27" t="str">
            <v>nd</v>
          </cell>
          <cell r="BH27">
            <v>4.3</v>
          </cell>
          <cell r="BI27">
            <v>60</v>
          </cell>
          <cell r="BJ27">
            <v>34</v>
          </cell>
          <cell r="BK27">
            <v>0</v>
          </cell>
          <cell r="BL27">
            <v>0</v>
          </cell>
          <cell r="BM27">
            <v>0</v>
          </cell>
          <cell r="BN27">
            <v>8.1</v>
          </cell>
          <cell r="BO27">
            <v>89.8</v>
          </cell>
          <cell r="BP27">
            <v>2</v>
          </cell>
          <cell r="BQ27">
            <v>0</v>
          </cell>
          <cell r="BR27" t="str">
            <v>nd</v>
          </cell>
          <cell r="BS27" t="str">
            <v>nd</v>
          </cell>
          <cell r="BT27">
            <v>8.5</v>
          </cell>
          <cell r="BU27">
            <v>88.5</v>
          </cell>
          <cell r="BV27">
            <v>2.5</v>
          </cell>
          <cell r="BW27">
            <v>0</v>
          </cell>
          <cell r="BX27">
            <v>0</v>
          </cell>
          <cell r="BY27">
            <v>0</v>
          </cell>
          <cell r="BZ27">
            <v>0</v>
          </cell>
          <cell r="CA27" t="str">
            <v>nd</v>
          </cell>
          <cell r="CB27">
            <v>94</v>
          </cell>
          <cell r="CC27">
            <v>10.7</v>
          </cell>
          <cell r="CD27">
            <v>23.200000000000003</v>
          </cell>
          <cell r="CE27" t="str">
            <v>nd</v>
          </cell>
          <cell r="CF27" t="str">
            <v>nd</v>
          </cell>
          <cell r="CG27">
            <v>4.8</v>
          </cell>
          <cell r="CH27">
            <v>15.9</v>
          </cell>
          <cell r="CI27">
            <v>10.299999999999999</v>
          </cell>
          <cell r="CJ27">
            <v>56.399999999999991</v>
          </cell>
          <cell r="CK27">
            <v>53</v>
          </cell>
          <cell r="CL27">
            <v>15.4</v>
          </cell>
          <cell r="CM27" t="str">
            <v>nd</v>
          </cell>
          <cell r="CN27" t="str">
            <v>nd</v>
          </cell>
          <cell r="CO27">
            <v>37.6</v>
          </cell>
          <cell r="CP27">
            <v>14.2</v>
          </cell>
          <cell r="CQ27">
            <v>34.4</v>
          </cell>
          <cell r="CR27">
            <v>20.399999999999999</v>
          </cell>
          <cell r="CS27">
            <v>31</v>
          </cell>
          <cell r="CT27">
            <v>11.899999999999999</v>
          </cell>
          <cell r="CU27">
            <v>88.1</v>
          </cell>
          <cell r="CV27">
            <v>11.600000000000001</v>
          </cell>
          <cell r="CW27">
            <v>88.4</v>
          </cell>
          <cell r="CX27">
            <v>22.6</v>
          </cell>
          <cell r="CY27">
            <v>29.9</v>
          </cell>
          <cell r="CZ27">
            <v>47.5</v>
          </cell>
          <cell r="DA27">
            <v>35.4</v>
          </cell>
          <cell r="DB27" t="str">
            <v>nd</v>
          </cell>
          <cell r="DC27">
            <v>22.6</v>
          </cell>
          <cell r="DD27">
            <v>0</v>
          </cell>
          <cell r="DE27">
            <v>34.9</v>
          </cell>
          <cell r="DF27">
            <v>13.3</v>
          </cell>
          <cell r="DG27">
            <v>1.7000000000000002</v>
          </cell>
          <cell r="DH27">
            <v>7.8</v>
          </cell>
          <cell r="DI27">
            <v>28.199999999999996</v>
          </cell>
          <cell r="DJ27">
            <v>30.599999999999998</v>
          </cell>
          <cell r="DK27">
            <v>18.399999999999999</v>
          </cell>
          <cell r="DL27">
            <v>11.600000000000001</v>
          </cell>
          <cell r="DM27">
            <v>53.7</v>
          </cell>
          <cell r="DN27" t="str">
            <v>nd</v>
          </cell>
          <cell r="DO27">
            <v>24.4</v>
          </cell>
          <cell r="DP27">
            <v>8.2000000000000011</v>
          </cell>
          <cell r="DQ27" t="str">
            <v>nd</v>
          </cell>
          <cell r="DR27">
            <v>24.8</v>
          </cell>
          <cell r="DS27">
            <v>15.7</v>
          </cell>
          <cell r="DT27">
            <v>12.8</v>
          </cell>
          <cell r="DU27">
            <v>0</v>
          </cell>
          <cell r="DV27">
            <v>0</v>
          </cell>
          <cell r="DW27">
            <v>0</v>
          </cell>
          <cell r="DX27">
            <v>0</v>
          </cell>
          <cell r="DY27">
            <v>0</v>
          </cell>
          <cell r="DZ27">
            <v>0</v>
          </cell>
          <cell r="EA27">
            <v>8.0536867999999995</v>
          </cell>
          <cell r="EB27" t="str">
            <v>nd</v>
          </cell>
          <cell r="EC27" t="str">
            <v>nd</v>
          </cell>
          <cell r="ED27" t="str">
            <v>nd</v>
          </cell>
          <cell r="EE27" t="str">
            <v>nd</v>
          </cell>
          <cell r="EF27">
            <v>7.3922999000000003</v>
          </cell>
          <cell r="EG27">
            <v>14.425685399999999</v>
          </cell>
          <cell r="EH27">
            <v>5.8009199999999996</v>
          </cell>
          <cell r="EI27" t="str">
            <v>nd</v>
          </cell>
          <cell r="EJ27">
            <v>4.5744400000000001</v>
          </cell>
          <cell r="EK27" t="str">
            <v>nd</v>
          </cell>
          <cell r="EL27">
            <v>16.839686</v>
          </cell>
          <cell r="EM27">
            <v>9.6274301000000015</v>
          </cell>
          <cell r="EN27">
            <v>14.6569652</v>
          </cell>
          <cell r="EO27">
            <v>4.7639199999999997</v>
          </cell>
          <cell r="EP27">
            <v>1.1927300000000001</v>
          </cell>
          <cell r="EQ27">
            <v>0.72675000000000001</v>
          </cell>
          <cell r="ER27">
            <v>1.7686299999999999</v>
          </cell>
          <cell r="ES27">
            <v>2.2979599999999998</v>
          </cell>
          <cell r="ET27">
            <v>0</v>
          </cell>
          <cell r="EU27">
            <v>0</v>
          </cell>
          <cell r="EV27">
            <v>0</v>
          </cell>
          <cell r="EW27">
            <v>0</v>
          </cell>
          <cell r="EX27">
            <v>0</v>
          </cell>
          <cell r="EY27">
            <v>0</v>
          </cell>
          <cell r="EZ27">
            <v>0</v>
          </cell>
          <cell r="FA27">
            <v>0</v>
          </cell>
          <cell r="FB27">
            <v>0</v>
          </cell>
          <cell r="FC27" t="str">
            <v>nd</v>
          </cell>
          <cell r="FD27" t="str">
            <v>nd</v>
          </cell>
          <cell r="FE27" t="str">
            <v>nd</v>
          </cell>
          <cell r="FF27" t="str">
            <v>nd</v>
          </cell>
          <cell r="FG27" t="str">
            <v>nd</v>
          </cell>
          <cell r="FH27">
            <v>0</v>
          </cell>
          <cell r="FI27" t="str">
            <v>nd</v>
          </cell>
          <cell r="FJ27">
            <v>9.6468428999999993</v>
          </cell>
          <cell r="FK27">
            <v>3.117</v>
          </cell>
          <cell r="FL27">
            <v>7.5145112000000003</v>
          </cell>
          <cell r="FM27">
            <v>9.3232421999999993</v>
          </cell>
          <cell r="FN27" t="str">
            <v>nd</v>
          </cell>
          <cell r="FO27">
            <v>2.0993200000000001</v>
          </cell>
          <cell r="FP27">
            <v>4.4337599999999995</v>
          </cell>
          <cell r="FQ27">
            <v>19.014689100000002</v>
          </cell>
          <cell r="FR27">
            <v>11.743224100000001</v>
          </cell>
          <cell r="FS27">
            <v>10.266433299999999</v>
          </cell>
          <cell r="FT27" t="str">
            <v>nd</v>
          </cell>
          <cell r="FU27">
            <v>0</v>
          </cell>
          <cell r="FV27" t="str">
            <v>nd</v>
          </cell>
          <cell r="FW27" t="str">
            <v>nd</v>
          </cell>
          <cell r="FX27" t="str">
            <v>nd</v>
          </cell>
          <cell r="FY27" t="str">
            <v>nd</v>
          </cell>
          <cell r="FZ27" t="str">
            <v>nd</v>
          </cell>
          <cell r="GA27">
            <v>0</v>
          </cell>
          <cell r="GB27">
            <v>0</v>
          </cell>
          <cell r="GC27">
            <v>0</v>
          </cell>
          <cell r="GD27">
            <v>0</v>
          </cell>
          <cell r="GE27">
            <v>0</v>
          </cell>
          <cell r="GF27">
            <v>0</v>
          </cell>
          <cell r="GG27" t="str">
            <v>nd</v>
          </cell>
          <cell r="GH27">
            <v>0</v>
          </cell>
          <cell r="GI27">
            <v>0</v>
          </cell>
          <cell r="GJ27">
            <v>5.2493699999999999</v>
          </cell>
          <cell r="GK27">
            <v>8.8032617000000002</v>
          </cell>
          <cell r="GL27">
            <v>0</v>
          </cell>
          <cell r="GM27" t="str">
            <v>nd</v>
          </cell>
          <cell r="GN27">
            <v>0</v>
          </cell>
          <cell r="GO27">
            <v>3.5160800000000001</v>
          </cell>
          <cell r="GP27">
            <v>20.8289367</v>
          </cell>
          <cell r="GQ27">
            <v>9.3418593999999988</v>
          </cell>
          <cell r="GR27">
            <v>0</v>
          </cell>
          <cell r="GS27">
            <v>0</v>
          </cell>
          <cell r="GT27" t="str">
            <v>nd</v>
          </cell>
          <cell r="GU27" t="str">
            <v>nd</v>
          </cell>
          <cell r="GV27">
            <v>31.654887799999997</v>
          </cell>
          <cell r="GW27">
            <v>15.7324596</v>
          </cell>
          <cell r="GX27">
            <v>0</v>
          </cell>
          <cell r="GY27">
            <v>0</v>
          </cell>
          <cell r="GZ27">
            <v>0</v>
          </cell>
          <cell r="HA27" t="str">
            <v>nd</v>
          </cell>
          <cell r="HB27">
            <v>2.1077499999999998</v>
          </cell>
          <cell r="HC27" t="str">
            <v>nd</v>
          </cell>
          <cell r="HD27">
            <v>0</v>
          </cell>
          <cell r="HE27">
            <v>0</v>
          </cell>
          <cell r="HF27">
            <v>0</v>
          </cell>
          <cell r="HG27">
            <v>0</v>
          </cell>
          <cell r="HH27">
            <v>0</v>
          </cell>
          <cell r="HI27">
            <v>0</v>
          </cell>
          <cell r="HJ27">
            <v>0</v>
          </cell>
          <cell r="HK27">
            <v>0</v>
          </cell>
          <cell r="HL27" t="str">
            <v>nd</v>
          </cell>
          <cell r="HM27">
            <v>10.509402099999999</v>
          </cell>
          <cell r="HN27" t="str">
            <v>nd</v>
          </cell>
          <cell r="HO27">
            <v>0</v>
          </cell>
          <cell r="HP27">
            <v>0</v>
          </cell>
          <cell r="HQ27">
            <v>0</v>
          </cell>
          <cell r="HR27" t="str">
            <v>nd</v>
          </cell>
          <cell r="HS27">
            <v>32.682552999999999</v>
          </cell>
          <cell r="HT27" t="str">
            <v>nd</v>
          </cell>
          <cell r="HU27">
            <v>0</v>
          </cell>
          <cell r="HV27">
            <v>0</v>
          </cell>
          <cell r="HW27">
            <v>0</v>
          </cell>
          <cell r="HX27">
            <v>2.8214300000000003</v>
          </cell>
          <cell r="HY27">
            <v>43.7716013</v>
          </cell>
          <cell r="HZ27">
            <v>1.4354899999999999</v>
          </cell>
          <cell r="IA27">
            <v>0</v>
          </cell>
          <cell r="IB27">
            <v>0</v>
          </cell>
          <cell r="IC27">
            <v>0</v>
          </cell>
          <cell r="ID27" t="str">
            <v>nd</v>
          </cell>
          <cell r="IE27">
            <v>2.7781000000000002</v>
          </cell>
          <cell r="IF27">
            <v>0</v>
          </cell>
          <cell r="IG27">
            <v>0</v>
          </cell>
          <cell r="IH27">
            <v>0</v>
          </cell>
          <cell r="II27">
            <v>0</v>
          </cell>
          <cell r="IJ27">
            <v>0</v>
          </cell>
          <cell r="IK27">
            <v>0</v>
          </cell>
          <cell r="IL27">
            <v>0</v>
          </cell>
          <cell r="IM27">
            <v>0</v>
          </cell>
          <cell r="IN27">
            <v>0</v>
          </cell>
          <cell r="IO27" t="str">
            <v>nd</v>
          </cell>
          <cell r="IP27">
            <v>6.5552243999999993</v>
          </cell>
          <cell r="IQ27">
            <v>0</v>
          </cell>
          <cell r="IR27">
            <v>0</v>
          </cell>
          <cell r="IS27">
            <v>0</v>
          </cell>
          <cell r="IT27">
            <v>0</v>
          </cell>
          <cell r="IU27">
            <v>3.4690600000000003</v>
          </cell>
          <cell r="IV27">
            <v>31.330519899999999</v>
          </cell>
          <cell r="IW27" t="str">
            <v>nd</v>
          </cell>
          <cell r="IX27">
            <v>0</v>
          </cell>
          <cell r="IY27" t="str">
            <v>nd</v>
          </cell>
          <cell r="IZ27" t="str">
            <v>nd</v>
          </cell>
          <cell r="JA27">
            <v>2.4157000000000002</v>
          </cell>
          <cell r="JB27">
            <v>48.895155299999999</v>
          </cell>
          <cell r="JC27">
            <v>1.3813900000000001</v>
          </cell>
          <cell r="JD27">
            <v>0</v>
          </cell>
          <cell r="JE27">
            <v>0</v>
          </cell>
          <cell r="JF27">
            <v>0</v>
          </cell>
          <cell r="JG27" t="str">
            <v>nd</v>
          </cell>
          <cell r="JH27">
            <v>2.2898700000000001</v>
          </cell>
          <cell r="JI27" t="str">
            <v>nd</v>
          </cell>
          <cell r="JJ27">
            <v>0</v>
          </cell>
          <cell r="JK27">
            <v>0</v>
          </cell>
          <cell r="JL27">
            <v>0</v>
          </cell>
          <cell r="JM27">
            <v>0</v>
          </cell>
          <cell r="JN27">
            <v>0</v>
          </cell>
          <cell r="JO27">
            <v>0</v>
          </cell>
          <cell r="JP27">
            <v>0</v>
          </cell>
          <cell r="JQ27">
            <v>0</v>
          </cell>
          <cell r="JR27">
            <v>0</v>
          </cell>
          <cell r="JS27" t="str">
            <v>nd</v>
          </cell>
          <cell r="JT27">
            <v>7.3229154000000003</v>
          </cell>
          <cell r="JU27">
            <v>0</v>
          </cell>
          <cell r="JV27">
            <v>0</v>
          </cell>
          <cell r="JW27">
            <v>0</v>
          </cell>
          <cell r="JX27">
            <v>0</v>
          </cell>
          <cell r="JY27">
            <v>0</v>
          </cell>
          <cell r="JZ27">
            <v>31.877305799999998</v>
          </cell>
          <cell r="KA27">
            <v>0</v>
          </cell>
          <cell r="KB27">
            <v>0</v>
          </cell>
          <cell r="KC27">
            <v>0</v>
          </cell>
          <cell r="KD27">
            <v>0</v>
          </cell>
          <cell r="KE27" t="str">
            <v>nd</v>
          </cell>
          <cell r="KF27">
            <v>50.827771499999997</v>
          </cell>
          <cell r="KG27">
            <v>0</v>
          </cell>
          <cell r="KH27">
            <v>0</v>
          </cell>
          <cell r="KI27">
            <v>0</v>
          </cell>
          <cell r="KJ27">
            <v>0</v>
          </cell>
          <cell r="KK27">
            <v>0</v>
          </cell>
          <cell r="KL27">
            <v>3.9895199999999997</v>
          </cell>
          <cell r="KM27">
            <v>51.4</v>
          </cell>
          <cell r="KN27">
            <v>33.800000000000004</v>
          </cell>
          <cell r="KO27">
            <v>4</v>
          </cell>
          <cell r="KP27">
            <v>5.4</v>
          </cell>
          <cell r="KQ27">
            <v>5.0999999999999996</v>
          </cell>
          <cell r="KR27">
            <v>0.2</v>
          </cell>
          <cell r="KS27">
            <v>49.9</v>
          </cell>
          <cell r="KT27">
            <v>33.900000000000006</v>
          </cell>
          <cell r="KU27">
            <v>4.3999999999999995</v>
          </cell>
          <cell r="KV27">
            <v>6</v>
          </cell>
          <cell r="KW27">
            <v>5.6000000000000005</v>
          </cell>
          <cell r="KX27">
            <v>0.3</v>
          </cell>
          <cell r="KY27"/>
          <cell r="KZ27"/>
          <cell r="LA27"/>
          <cell r="LB27"/>
          <cell r="LC27"/>
          <cell r="LD27"/>
          <cell r="LE27"/>
          <cell r="LF27"/>
          <cell r="LG27"/>
          <cell r="LH27"/>
          <cell r="LI27"/>
          <cell r="LJ27"/>
          <cell r="LK27"/>
          <cell r="LL27"/>
          <cell r="LM27"/>
          <cell r="LN27"/>
          <cell r="LO27"/>
        </row>
        <row r="28">
          <cell r="A28" t="str">
            <v>EnsC4</v>
          </cell>
          <cell r="B28" t="str">
            <v>28</v>
          </cell>
          <cell r="C28" t="str">
            <v>NAF 17</v>
          </cell>
          <cell r="D28" t="str">
            <v>C4</v>
          </cell>
          <cell r="E28" t="str">
            <v/>
          </cell>
          <cell r="F28" t="str">
            <v>nd</v>
          </cell>
          <cell r="G28">
            <v>26.400000000000002</v>
          </cell>
          <cell r="H28">
            <v>58.699999999999996</v>
          </cell>
          <cell r="I28">
            <v>13.3</v>
          </cell>
          <cell r="J28">
            <v>1.4000000000000001</v>
          </cell>
          <cell r="K28">
            <v>70.899999999999991</v>
          </cell>
          <cell r="L28">
            <v>0.5</v>
          </cell>
          <cell r="M28">
            <v>7.1999999999999993</v>
          </cell>
          <cell r="N28">
            <v>21.4</v>
          </cell>
          <cell r="O28">
            <v>37.4</v>
          </cell>
          <cell r="P28">
            <v>35.9</v>
          </cell>
          <cell r="Q28">
            <v>42.699999999999996</v>
          </cell>
          <cell r="R28">
            <v>3.2</v>
          </cell>
          <cell r="S28">
            <v>14.000000000000002</v>
          </cell>
          <cell r="T28">
            <v>58.8</v>
          </cell>
          <cell r="U28" t="str">
            <v>nd</v>
          </cell>
          <cell r="V28">
            <v>7.3999999999999995</v>
          </cell>
          <cell r="W28">
            <v>11.1</v>
          </cell>
          <cell r="X28">
            <v>88.1</v>
          </cell>
          <cell r="Y28">
            <v>0.89999999999999991</v>
          </cell>
          <cell r="Z28">
            <v>2.7</v>
          </cell>
          <cell r="AA28">
            <v>64</v>
          </cell>
          <cell r="AB28">
            <v>19.8</v>
          </cell>
          <cell r="AC28">
            <v>83.8</v>
          </cell>
          <cell r="AD28">
            <v>9</v>
          </cell>
          <cell r="AE28">
            <v>92.7</v>
          </cell>
          <cell r="AF28">
            <v>7.3</v>
          </cell>
          <cell r="AG28">
            <v>74.099999999999994</v>
          </cell>
          <cell r="AH28">
            <v>25.900000000000002</v>
          </cell>
          <cell r="AI28">
            <v>49.9</v>
          </cell>
          <cell r="AJ28">
            <v>0.3</v>
          </cell>
          <cell r="AK28">
            <v>20.5</v>
          </cell>
          <cell r="AL28">
            <v>23.599999999999998</v>
          </cell>
          <cell r="AM28">
            <v>5.6000000000000005</v>
          </cell>
          <cell r="AN28">
            <v>17.899999999999999</v>
          </cell>
          <cell r="AO28">
            <v>2.9000000000000004</v>
          </cell>
          <cell r="AP28">
            <v>8.1</v>
          </cell>
          <cell r="AQ28">
            <v>38</v>
          </cell>
          <cell r="AR28">
            <v>33.1</v>
          </cell>
          <cell r="AS28">
            <v>29.7</v>
          </cell>
          <cell r="AT28">
            <v>34.599999999999994</v>
          </cell>
          <cell r="AU28">
            <v>27.3</v>
          </cell>
          <cell r="AV28">
            <v>3.1</v>
          </cell>
          <cell r="AW28">
            <v>4.1000000000000005</v>
          </cell>
          <cell r="AX28">
            <v>1.2</v>
          </cell>
          <cell r="AY28">
            <v>5.0999999999999996</v>
          </cell>
          <cell r="AZ28">
            <v>5.8999999999999995</v>
          </cell>
          <cell r="BA28">
            <v>24.8</v>
          </cell>
          <cell r="BB28">
            <v>32.300000000000004</v>
          </cell>
          <cell r="BC28">
            <v>23.599999999999998</v>
          </cell>
          <cell r="BD28">
            <v>8.4</v>
          </cell>
          <cell r="BE28">
            <v>0.5</v>
          </cell>
          <cell r="BF28">
            <v>1.0999999999999999</v>
          </cell>
          <cell r="BG28">
            <v>2.1</v>
          </cell>
          <cell r="BH28">
            <v>16.5</v>
          </cell>
          <cell r="BI28">
            <v>65.2</v>
          </cell>
          <cell r="BJ28">
            <v>14.7</v>
          </cell>
          <cell r="BK28">
            <v>0</v>
          </cell>
          <cell r="BL28">
            <v>0</v>
          </cell>
          <cell r="BM28" t="str">
            <v>nd</v>
          </cell>
          <cell r="BN28">
            <v>4.7</v>
          </cell>
          <cell r="BO28">
            <v>92.100000000000009</v>
          </cell>
          <cell r="BP28">
            <v>2.9000000000000004</v>
          </cell>
          <cell r="BQ28">
            <v>0</v>
          </cell>
          <cell r="BR28" t="str">
            <v>nd</v>
          </cell>
          <cell r="BS28">
            <v>0</v>
          </cell>
          <cell r="BT28">
            <v>8.6999999999999993</v>
          </cell>
          <cell r="BU28">
            <v>83.899999999999991</v>
          </cell>
          <cell r="BV28">
            <v>7.1999999999999993</v>
          </cell>
          <cell r="BW28">
            <v>0</v>
          </cell>
          <cell r="BX28">
            <v>0</v>
          </cell>
          <cell r="BY28">
            <v>0</v>
          </cell>
          <cell r="BZ28">
            <v>0</v>
          </cell>
          <cell r="CA28">
            <v>1.5</v>
          </cell>
          <cell r="CB28">
            <v>98.5</v>
          </cell>
          <cell r="CC28">
            <v>5.8999999999999995</v>
          </cell>
          <cell r="CD28">
            <v>25.2</v>
          </cell>
          <cell r="CE28">
            <v>0.4</v>
          </cell>
          <cell r="CF28">
            <v>0.4</v>
          </cell>
          <cell r="CG28">
            <v>0</v>
          </cell>
          <cell r="CH28">
            <v>55.300000000000004</v>
          </cell>
          <cell r="CI28">
            <v>16.2</v>
          </cell>
          <cell r="CJ28">
            <v>40.1</v>
          </cell>
          <cell r="CK28">
            <v>69.3</v>
          </cell>
          <cell r="CL28">
            <v>28.9</v>
          </cell>
          <cell r="CM28">
            <v>0.89999999999999991</v>
          </cell>
          <cell r="CN28">
            <v>0.4</v>
          </cell>
          <cell r="CO28">
            <v>16.900000000000002</v>
          </cell>
          <cell r="CP28">
            <v>9.8000000000000007</v>
          </cell>
          <cell r="CQ28">
            <v>25.4</v>
          </cell>
          <cell r="CR28">
            <v>26.900000000000002</v>
          </cell>
          <cell r="CS28">
            <v>37.9</v>
          </cell>
          <cell r="CT28">
            <v>13.900000000000002</v>
          </cell>
          <cell r="CU28">
            <v>86.1</v>
          </cell>
          <cell r="CV28">
            <v>18</v>
          </cell>
          <cell r="CW28">
            <v>82</v>
          </cell>
          <cell r="CX28">
            <v>18.2</v>
          </cell>
          <cell r="CY28">
            <v>34.599999999999994</v>
          </cell>
          <cell r="CZ28">
            <v>47.099999999999994</v>
          </cell>
          <cell r="DA28">
            <v>48.3</v>
          </cell>
          <cell r="DB28" t="str">
            <v>nd</v>
          </cell>
          <cell r="DC28" t="str">
            <v>nd</v>
          </cell>
          <cell r="DD28">
            <v>0</v>
          </cell>
          <cell r="DE28">
            <v>67.800000000000011</v>
          </cell>
          <cell r="DF28">
            <v>3.1</v>
          </cell>
          <cell r="DG28">
            <v>2.2999999999999998</v>
          </cell>
          <cell r="DH28">
            <v>14.7</v>
          </cell>
          <cell r="DI28">
            <v>19.7</v>
          </cell>
          <cell r="DJ28">
            <v>42.9</v>
          </cell>
          <cell r="DK28">
            <v>17.399999999999999</v>
          </cell>
          <cell r="DL28">
            <v>4.2</v>
          </cell>
          <cell r="DM28">
            <v>48.199999999999996</v>
          </cell>
          <cell r="DN28">
            <v>1.4000000000000001</v>
          </cell>
          <cell r="DO28">
            <v>46</v>
          </cell>
          <cell r="DP28">
            <v>8.4</v>
          </cell>
          <cell r="DQ28">
            <v>24</v>
          </cell>
          <cell r="DR28">
            <v>30.9</v>
          </cell>
          <cell r="DS28">
            <v>30.7</v>
          </cell>
          <cell r="DT28">
            <v>10.100000000000001</v>
          </cell>
          <cell r="DU28">
            <v>0</v>
          </cell>
          <cell r="DV28">
            <v>0</v>
          </cell>
          <cell r="DW28">
            <v>0</v>
          </cell>
          <cell r="DX28">
            <v>0</v>
          </cell>
          <cell r="DY28" t="str">
            <v>nd</v>
          </cell>
          <cell r="DZ28">
            <v>3.7006400000000004</v>
          </cell>
          <cell r="EA28">
            <v>5.8688200000000004</v>
          </cell>
          <cell r="EB28">
            <v>16.490644199999998</v>
          </cell>
          <cell r="EC28">
            <v>0.42605799999999999</v>
          </cell>
          <cell r="ED28">
            <v>0</v>
          </cell>
          <cell r="EE28" t="str">
            <v>nd</v>
          </cell>
          <cell r="EF28">
            <v>15.1251427</v>
          </cell>
          <cell r="EG28">
            <v>26.263247400000001</v>
          </cell>
          <cell r="EH28">
            <v>10.6785911</v>
          </cell>
          <cell r="EI28">
            <v>2.2804100000000003</v>
          </cell>
          <cell r="EJ28">
            <v>3.7182899999999997</v>
          </cell>
          <cell r="EK28">
            <v>0</v>
          </cell>
          <cell r="EL28">
            <v>9.7281575</v>
          </cell>
          <cell r="EM28">
            <v>2.4822600000000001</v>
          </cell>
          <cell r="EN28" t="str">
            <v>nd</v>
          </cell>
          <cell r="EO28" t="str">
            <v>nd</v>
          </cell>
          <cell r="EP28">
            <v>0.42350799999999994</v>
          </cell>
          <cell r="EQ28" t="str">
            <v>nd</v>
          </cell>
          <cell r="ER28">
            <v>1.1254900000000001</v>
          </cell>
          <cell r="ES28">
            <v>0</v>
          </cell>
          <cell r="ET28" t="str">
            <v>nd</v>
          </cell>
          <cell r="EU28">
            <v>0</v>
          </cell>
          <cell r="EV28">
            <v>0</v>
          </cell>
          <cell r="EW28" t="str">
            <v>nd</v>
          </cell>
          <cell r="EX28">
            <v>0</v>
          </cell>
          <cell r="EY28">
            <v>0</v>
          </cell>
          <cell r="EZ28">
            <v>0</v>
          </cell>
          <cell r="FA28">
            <v>0</v>
          </cell>
          <cell r="FB28" t="str">
            <v>nd</v>
          </cell>
          <cell r="FC28" t="str">
            <v>nd</v>
          </cell>
          <cell r="FD28" t="str">
            <v>nd</v>
          </cell>
          <cell r="FE28">
            <v>12.9510299</v>
          </cell>
          <cell r="FF28">
            <v>7.7062818000000002</v>
          </cell>
          <cell r="FG28">
            <v>4.4503500000000003</v>
          </cell>
          <cell r="FH28">
            <v>0.82454000000000005</v>
          </cell>
          <cell r="FI28" t="str">
            <v>nd</v>
          </cell>
          <cell r="FJ28">
            <v>5.5851899999999999</v>
          </cell>
          <cell r="FK28">
            <v>10.681499899999999</v>
          </cell>
          <cell r="FL28">
            <v>18.953212499999999</v>
          </cell>
          <cell r="FM28">
            <v>15.016197500000001</v>
          </cell>
          <cell r="FN28">
            <v>3.8421999999999996</v>
          </cell>
          <cell r="FO28" t="str">
            <v>nd</v>
          </cell>
          <cell r="FP28">
            <v>0</v>
          </cell>
          <cell r="FQ28">
            <v>1.02081</v>
          </cell>
          <cell r="FR28">
            <v>5.4772499999999997</v>
          </cell>
          <cell r="FS28">
            <v>3.4440300000000001</v>
          </cell>
          <cell r="FT28">
            <v>3.0197099999999999</v>
          </cell>
          <cell r="FU28">
            <v>0</v>
          </cell>
          <cell r="FV28">
            <v>0</v>
          </cell>
          <cell r="FW28" t="str">
            <v>nd</v>
          </cell>
          <cell r="FX28" t="str">
            <v>nd</v>
          </cell>
          <cell r="FY28">
            <v>0.68091899999999994</v>
          </cell>
          <cell r="FZ28">
            <v>0.49373500000000003</v>
          </cell>
          <cell r="GA28" t="str">
            <v>nd</v>
          </cell>
          <cell r="GB28">
            <v>0</v>
          </cell>
          <cell r="GC28">
            <v>0</v>
          </cell>
          <cell r="GD28">
            <v>0</v>
          </cell>
          <cell r="GE28">
            <v>0</v>
          </cell>
          <cell r="GF28" t="str">
            <v>nd</v>
          </cell>
          <cell r="GG28">
            <v>0.34205799999999997</v>
          </cell>
          <cell r="GH28" t="str">
            <v>nd</v>
          </cell>
          <cell r="GI28">
            <v>5.7056999999999993</v>
          </cell>
          <cell r="GJ28">
            <v>18.675601700000001</v>
          </cell>
          <cell r="GK28" t="str">
            <v>nd</v>
          </cell>
          <cell r="GL28">
            <v>0</v>
          </cell>
          <cell r="GM28" t="str">
            <v>nd</v>
          </cell>
          <cell r="GN28">
            <v>2.0044</v>
          </cell>
          <cell r="GO28">
            <v>10.5821156</v>
          </cell>
          <cell r="GP28">
            <v>36.582611399999998</v>
          </cell>
          <cell r="GQ28">
            <v>7.1222858999999996</v>
          </cell>
          <cell r="GR28" t="str">
            <v>nd</v>
          </cell>
          <cell r="GS28">
            <v>0</v>
          </cell>
          <cell r="GT28">
            <v>0</v>
          </cell>
          <cell r="GU28" t="str">
            <v>nd</v>
          </cell>
          <cell r="GV28">
            <v>9.0159319</v>
          </cell>
          <cell r="GW28">
            <v>4.04983</v>
          </cell>
          <cell r="GX28">
            <v>0</v>
          </cell>
          <cell r="GY28">
            <v>0</v>
          </cell>
          <cell r="GZ28">
            <v>0</v>
          </cell>
          <cell r="HA28">
            <v>0</v>
          </cell>
          <cell r="HB28">
            <v>0.90965000000000007</v>
          </cell>
          <cell r="HC28">
            <v>0.50903799999999999</v>
          </cell>
          <cell r="HD28">
            <v>0</v>
          </cell>
          <cell r="HE28">
            <v>0</v>
          </cell>
          <cell r="HF28">
            <v>0</v>
          </cell>
          <cell r="HG28">
            <v>0</v>
          </cell>
          <cell r="HH28" t="str">
            <v>nd</v>
          </cell>
          <cell r="HI28">
            <v>0</v>
          </cell>
          <cell r="HJ28">
            <v>0</v>
          </cell>
          <cell r="HK28">
            <v>0</v>
          </cell>
          <cell r="HL28" t="str">
            <v>nd</v>
          </cell>
          <cell r="HM28">
            <v>28.8235536</v>
          </cell>
          <cell r="HN28" t="str">
            <v>nd</v>
          </cell>
          <cell r="HO28">
            <v>0</v>
          </cell>
          <cell r="HP28">
            <v>0</v>
          </cell>
          <cell r="HQ28">
            <v>0</v>
          </cell>
          <cell r="HR28">
            <v>2.7505700000000002</v>
          </cell>
          <cell r="HS28">
            <v>50.004455899999996</v>
          </cell>
          <cell r="HT28">
            <v>1.1335299999999999</v>
          </cell>
          <cell r="HU28">
            <v>0</v>
          </cell>
          <cell r="HV28">
            <v>0</v>
          </cell>
          <cell r="HW28" t="str">
            <v>nd</v>
          </cell>
          <cell r="HX28">
            <v>1.4106099999999999</v>
          </cell>
          <cell r="HY28">
            <v>12.067149500000001</v>
          </cell>
          <cell r="HZ28">
            <v>1.1600200000000001</v>
          </cell>
          <cell r="IA28">
            <v>0</v>
          </cell>
          <cell r="IB28">
            <v>0</v>
          </cell>
          <cell r="IC28">
            <v>0</v>
          </cell>
          <cell r="ID28" t="str">
            <v>nd</v>
          </cell>
          <cell r="IE28">
            <v>1.1665300000000001</v>
          </cell>
          <cell r="IF28">
            <v>0</v>
          </cell>
          <cell r="IG28">
            <v>0</v>
          </cell>
          <cell r="IH28">
            <v>0</v>
          </cell>
          <cell r="II28">
            <v>0</v>
          </cell>
          <cell r="IJ28">
            <v>0</v>
          </cell>
          <cell r="IK28" t="str">
            <v>nd</v>
          </cell>
          <cell r="IL28">
            <v>0</v>
          </cell>
          <cell r="IM28">
            <v>0</v>
          </cell>
          <cell r="IN28">
            <v>0</v>
          </cell>
          <cell r="IO28">
            <v>3.3527399999999998</v>
          </cell>
          <cell r="IP28">
            <v>23.051721799999999</v>
          </cell>
          <cell r="IQ28">
            <v>1.11002</v>
          </cell>
          <cell r="IR28">
            <v>0</v>
          </cell>
          <cell r="IS28">
            <v>0</v>
          </cell>
          <cell r="IT28">
            <v>0</v>
          </cell>
          <cell r="IU28">
            <v>4.14499</v>
          </cell>
          <cell r="IV28">
            <v>49.8182385</v>
          </cell>
          <cell r="IW28">
            <v>3.2255699999999998</v>
          </cell>
          <cell r="IX28">
            <v>0</v>
          </cell>
          <cell r="IY28" t="str">
            <v>nd</v>
          </cell>
          <cell r="IZ28">
            <v>0</v>
          </cell>
          <cell r="JA28" t="str">
            <v>nd</v>
          </cell>
          <cell r="JB28">
            <v>9.628506100000001</v>
          </cell>
          <cell r="JC28">
            <v>2.6</v>
          </cell>
          <cell r="JD28">
            <v>0</v>
          </cell>
          <cell r="JE28">
            <v>0</v>
          </cell>
          <cell r="JF28">
            <v>0</v>
          </cell>
          <cell r="JG28">
            <v>0</v>
          </cell>
          <cell r="JH28">
            <v>1.36961</v>
          </cell>
          <cell r="JI28" t="str">
            <v>nd</v>
          </cell>
          <cell r="JJ28">
            <v>0</v>
          </cell>
          <cell r="JK28">
            <v>0</v>
          </cell>
          <cell r="JL28">
            <v>0</v>
          </cell>
          <cell r="JM28">
            <v>0</v>
          </cell>
          <cell r="JN28" t="str">
            <v>nd</v>
          </cell>
          <cell r="JO28">
            <v>0</v>
          </cell>
          <cell r="JP28">
            <v>0</v>
          </cell>
          <cell r="JQ28">
            <v>0</v>
          </cell>
          <cell r="JR28">
            <v>0</v>
          </cell>
          <cell r="JS28" t="str">
            <v>nd</v>
          </cell>
          <cell r="JT28">
            <v>28.343613600000001</v>
          </cell>
          <cell r="JU28">
            <v>0</v>
          </cell>
          <cell r="JV28">
            <v>0</v>
          </cell>
          <cell r="JW28">
            <v>0</v>
          </cell>
          <cell r="JX28">
            <v>0</v>
          </cell>
          <cell r="JY28" t="str">
            <v>nd</v>
          </cell>
          <cell r="JZ28">
            <v>57.246472699999998</v>
          </cell>
          <cell r="KA28">
            <v>0</v>
          </cell>
          <cell r="KB28">
            <v>0</v>
          </cell>
          <cell r="KC28">
            <v>0</v>
          </cell>
          <cell r="KD28">
            <v>0</v>
          </cell>
          <cell r="KE28">
            <v>0</v>
          </cell>
          <cell r="KF28">
            <v>11.274515300000001</v>
          </cell>
          <cell r="KG28">
            <v>0</v>
          </cell>
          <cell r="KH28">
            <v>0</v>
          </cell>
          <cell r="KI28">
            <v>0</v>
          </cell>
          <cell r="KJ28">
            <v>0</v>
          </cell>
          <cell r="KK28">
            <v>0</v>
          </cell>
          <cell r="KL28">
            <v>1.4216500000000001</v>
          </cell>
          <cell r="KM28">
            <v>56.999999999999993</v>
          </cell>
          <cell r="KN28">
            <v>24.099999999999998</v>
          </cell>
          <cell r="KO28">
            <v>7.9</v>
          </cell>
          <cell r="KP28">
            <v>5.2</v>
          </cell>
          <cell r="KQ28">
            <v>5.7</v>
          </cell>
          <cell r="KR28">
            <v>0.1</v>
          </cell>
          <cell r="KS28">
            <v>53.7</v>
          </cell>
          <cell r="KT28">
            <v>25.3</v>
          </cell>
          <cell r="KU28">
            <v>9.1999999999999993</v>
          </cell>
          <cell r="KV28">
            <v>5.4</v>
          </cell>
          <cell r="KW28">
            <v>6.3</v>
          </cell>
          <cell r="KX28">
            <v>0.1</v>
          </cell>
          <cell r="KY28"/>
          <cell r="KZ28"/>
          <cell r="LA28"/>
          <cell r="LB28"/>
          <cell r="LC28"/>
          <cell r="LD28"/>
          <cell r="LE28"/>
          <cell r="LF28"/>
          <cell r="LG28"/>
          <cell r="LH28"/>
          <cell r="LI28"/>
          <cell r="LJ28"/>
          <cell r="LK28"/>
          <cell r="LL28"/>
          <cell r="LM28"/>
          <cell r="LN28"/>
          <cell r="LO28"/>
        </row>
        <row r="29">
          <cell r="A29" t="str">
            <v>1C4</v>
          </cell>
          <cell r="B29" t="str">
            <v>29</v>
          </cell>
          <cell r="C29" t="str">
            <v>NAF 17</v>
          </cell>
          <cell r="D29" t="str">
            <v>C4</v>
          </cell>
          <cell r="E29" t="str">
            <v>1</v>
          </cell>
          <cell r="F29">
            <v>0</v>
          </cell>
          <cell r="G29" t="str">
            <v>nd</v>
          </cell>
          <cell r="H29" t="str">
            <v>nd</v>
          </cell>
          <cell r="I29" t="str">
            <v>nd</v>
          </cell>
          <cell r="J29">
            <v>0</v>
          </cell>
          <cell r="K29" t="str">
            <v>nd</v>
          </cell>
          <cell r="L29" t="str">
            <v>nd</v>
          </cell>
          <cell r="M29">
            <v>0</v>
          </cell>
          <cell r="N29">
            <v>0</v>
          </cell>
          <cell r="O29">
            <v>82.8</v>
          </cell>
          <cell r="P29" t="str">
            <v>nd</v>
          </cell>
          <cell r="Q29" t="str">
            <v>nd</v>
          </cell>
          <cell r="R29" t="str">
            <v>nd</v>
          </cell>
          <cell r="S29" t="str">
            <v>nd</v>
          </cell>
          <cell r="T29">
            <v>91.4</v>
          </cell>
          <cell r="U29">
            <v>0</v>
          </cell>
          <cell r="V29">
            <v>0</v>
          </cell>
          <cell r="W29">
            <v>0</v>
          </cell>
          <cell r="X29">
            <v>100</v>
          </cell>
          <cell r="Y29">
            <v>0</v>
          </cell>
          <cell r="Z29">
            <v>0</v>
          </cell>
          <cell r="AA29">
            <v>0</v>
          </cell>
          <cell r="AB29">
            <v>0</v>
          </cell>
          <cell r="AC29">
            <v>0</v>
          </cell>
          <cell r="AD29">
            <v>0</v>
          </cell>
          <cell r="AE29">
            <v>20.100000000000001</v>
          </cell>
          <cell r="AF29" t="str">
            <v>nd</v>
          </cell>
          <cell r="AG29" t="str">
            <v>nd</v>
          </cell>
          <cell r="AH29" t="str">
            <v>nd</v>
          </cell>
          <cell r="AI29">
            <v>100</v>
          </cell>
          <cell r="AJ29">
            <v>0</v>
          </cell>
          <cell r="AK29">
            <v>0</v>
          </cell>
          <cell r="AL29">
            <v>0</v>
          </cell>
          <cell r="AM29">
            <v>0</v>
          </cell>
          <cell r="AN29">
            <v>0</v>
          </cell>
          <cell r="AO29">
            <v>0</v>
          </cell>
          <cell r="AP29">
            <v>0</v>
          </cell>
          <cell r="AQ29">
            <v>100</v>
          </cell>
          <cell r="AR29">
            <v>0</v>
          </cell>
          <cell r="AS29">
            <v>97.899999999999991</v>
          </cell>
          <cell r="AT29" t="str">
            <v>nd</v>
          </cell>
          <cell r="AU29">
            <v>0</v>
          </cell>
          <cell r="AV29">
            <v>0</v>
          </cell>
          <cell r="AW29">
            <v>0</v>
          </cell>
          <cell r="AX29">
            <v>0</v>
          </cell>
          <cell r="AY29">
            <v>0</v>
          </cell>
          <cell r="AZ29">
            <v>0</v>
          </cell>
          <cell r="BA29">
            <v>0</v>
          </cell>
          <cell r="BB29">
            <v>0</v>
          </cell>
          <cell r="BC29" t="str">
            <v>nd</v>
          </cell>
          <cell r="BD29">
            <v>91.3</v>
          </cell>
          <cell r="BE29">
            <v>0</v>
          </cell>
          <cell r="BF29" t="str">
            <v>nd</v>
          </cell>
          <cell r="BG29">
            <v>0</v>
          </cell>
          <cell r="BH29">
            <v>0</v>
          </cell>
          <cell r="BI29" t="str">
            <v>nd</v>
          </cell>
          <cell r="BJ29">
            <v>89.3</v>
          </cell>
          <cell r="BK29">
            <v>0</v>
          </cell>
          <cell r="BL29">
            <v>0</v>
          </cell>
          <cell r="BM29">
            <v>0</v>
          </cell>
          <cell r="BN29">
            <v>0</v>
          </cell>
          <cell r="BO29">
            <v>89.3</v>
          </cell>
          <cell r="BP29" t="str">
            <v>nd</v>
          </cell>
          <cell r="BQ29">
            <v>0</v>
          </cell>
          <cell r="BR29">
            <v>0</v>
          </cell>
          <cell r="BS29">
            <v>0</v>
          </cell>
          <cell r="BT29">
            <v>0</v>
          </cell>
          <cell r="BU29">
            <v>0</v>
          </cell>
          <cell r="BV29">
            <v>100</v>
          </cell>
          <cell r="BW29">
            <v>0</v>
          </cell>
          <cell r="BX29">
            <v>0</v>
          </cell>
          <cell r="BY29">
            <v>0</v>
          </cell>
          <cell r="BZ29">
            <v>0</v>
          </cell>
          <cell r="CA29">
            <v>0</v>
          </cell>
          <cell r="CB29">
            <v>100</v>
          </cell>
          <cell r="CC29" t="str">
            <v>nd</v>
          </cell>
          <cell r="CD29">
            <v>0</v>
          </cell>
          <cell r="CE29">
            <v>0</v>
          </cell>
          <cell r="CF29">
            <v>0</v>
          </cell>
          <cell r="CG29">
            <v>0</v>
          </cell>
          <cell r="CH29" t="str">
            <v>nd</v>
          </cell>
          <cell r="CI29">
            <v>0</v>
          </cell>
          <cell r="CJ29">
            <v>89.4</v>
          </cell>
          <cell r="CK29" t="str">
            <v>nd</v>
          </cell>
          <cell r="CL29" t="str">
            <v>nd</v>
          </cell>
          <cell r="CM29">
            <v>0</v>
          </cell>
          <cell r="CN29">
            <v>0</v>
          </cell>
          <cell r="CO29" t="str">
            <v>nd</v>
          </cell>
          <cell r="CP29" t="str">
            <v>nd</v>
          </cell>
          <cell r="CQ29" t="str">
            <v>nd</v>
          </cell>
          <cell r="CR29" t="str">
            <v>nd</v>
          </cell>
          <cell r="CS29" t="str">
            <v>nd</v>
          </cell>
          <cell r="CT29">
            <v>0</v>
          </cell>
          <cell r="CU29">
            <v>100</v>
          </cell>
          <cell r="CV29" t="str">
            <v>nd</v>
          </cell>
          <cell r="CW29">
            <v>91.3</v>
          </cell>
          <cell r="CX29" t="str">
            <v>nd</v>
          </cell>
          <cell r="CY29" t="str">
            <v>nd</v>
          </cell>
          <cell r="CZ29">
            <v>89.3</v>
          </cell>
          <cell r="DA29" t="str">
            <v>nd</v>
          </cell>
          <cell r="DB29" t="str">
            <v>nd</v>
          </cell>
          <cell r="DC29">
            <v>0</v>
          </cell>
          <cell r="DD29">
            <v>0</v>
          </cell>
          <cell r="DE29">
            <v>0</v>
          </cell>
          <cell r="DF29">
            <v>0</v>
          </cell>
          <cell r="DG29">
            <v>0</v>
          </cell>
          <cell r="DH29" t="str">
            <v>nd</v>
          </cell>
          <cell r="DI29">
            <v>0</v>
          </cell>
          <cell r="DJ29">
            <v>91.4</v>
          </cell>
          <cell r="DK29">
            <v>0</v>
          </cell>
          <cell r="DL29">
            <v>0</v>
          </cell>
          <cell r="DM29">
            <v>91.4</v>
          </cell>
          <cell r="DN29" t="str">
            <v>nd</v>
          </cell>
          <cell r="DO29" t="str">
            <v>nd</v>
          </cell>
          <cell r="DP29">
            <v>0</v>
          </cell>
          <cell r="DQ29">
            <v>0</v>
          </cell>
          <cell r="DR29" t="str">
            <v>nd</v>
          </cell>
          <cell r="DS29">
            <v>0</v>
          </cell>
          <cell r="DT29">
            <v>0</v>
          </cell>
          <cell r="DU29">
            <v>0</v>
          </cell>
          <cell r="DV29">
            <v>0</v>
          </cell>
          <cell r="DW29">
            <v>0</v>
          </cell>
          <cell r="DX29">
            <v>0</v>
          </cell>
          <cell r="DY29">
            <v>0</v>
          </cell>
          <cell r="DZ29">
            <v>0</v>
          </cell>
          <cell r="EA29" t="str">
            <v>nd</v>
          </cell>
          <cell r="EB29">
            <v>0</v>
          </cell>
          <cell r="EC29">
            <v>0</v>
          </cell>
          <cell r="ED29">
            <v>0</v>
          </cell>
          <cell r="EE29">
            <v>0</v>
          </cell>
          <cell r="EF29" t="str">
            <v>nd</v>
          </cell>
          <cell r="EG29">
            <v>0</v>
          </cell>
          <cell r="EH29">
            <v>0</v>
          </cell>
          <cell r="EI29">
            <v>0</v>
          </cell>
          <cell r="EJ29">
            <v>0</v>
          </cell>
          <cell r="EK29">
            <v>0</v>
          </cell>
          <cell r="EL29" t="str">
            <v>nd</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0</v>
          </cell>
          <cell r="FF29">
            <v>0</v>
          </cell>
          <cell r="FG29">
            <v>0</v>
          </cell>
          <cell r="FH29" t="str">
            <v>nd</v>
          </cell>
          <cell r="FI29">
            <v>0</v>
          </cell>
          <cell r="FJ29">
            <v>0</v>
          </cell>
          <cell r="FK29">
            <v>0</v>
          </cell>
          <cell r="FL29">
            <v>0</v>
          </cell>
          <cell r="FM29" t="str">
            <v>nd</v>
          </cell>
          <cell r="FN29" t="str">
            <v>nd</v>
          </cell>
          <cell r="FO29">
            <v>0</v>
          </cell>
          <cell r="FP29">
            <v>0</v>
          </cell>
          <cell r="FQ29">
            <v>0</v>
          </cell>
          <cell r="FR29">
            <v>0</v>
          </cell>
          <cell r="FS29">
            <v>0</v>
          </cell>
          <cell r="FT29" t="str">
            <v>nd</v>
          </cell>
          <cell r="FU29">
            <v>0</v>
          </cell>
          <cell r="FV29">
            <v>0</v>
          </cell>
          <cell r="FW29">
            <v>0</v>
          </cell>
          <cell r="FX29">
            <v>0</v>
          </cell>
          <cell r="FY29">
            <v>0</v>
          </cell>
          <cell r="FZ29">
            <v>0</v>
          </cell>
          <cell r="GA29">
            <v>0</v>
          </cell>
          <cell r="GB29">
            <v>0</v>
          </cell>
          <cell r="GC29">
            <v>0</v>
          </cell>
          <cell r="GD29">
            <v>0</v>
          </cell>
          <cell r="GE29">
            <v>0</v>
          </cell>
          <cell r="GF29">
            <v>0</v>
          </cell>
          <cell r="GG29" t="str">
            <v>nd</v>
          </cell>
          <cell r="GH29">
            <v>0</v>
          </cell>
          <cell r="GI29">
            <v>0</v>
          </cell>
          <cell r="GJ29">
            <v>0</v>
          </cell>
          <cell r="GK29">
            <v>0</v>
          </cell>
          <cell r="GL29">
            <v>0</v>
          </cell>
          <cell r="GM29">
            <v>0</v>
          </cell>
          <cell r="GN29">
            <v>0</v>
          </cell>
          <cell r="GO29">
            <v>0</v>
          </cell>
          <cell r="GP29" t="str">
            <v>nd</v>
          </cell>
          <cell r="GQ29" t="str">
            <v>nd</v>
          </cell>
          <cell r="GR29">
            <v>0</v>
          </cell>
          <cell r="GS29">
            <v>0</v>
          </cell>
          <cell r="GT29">
            <v>0</v>
          </cell>
          <cell r="GU29">
            <v>0</v>
          </cell>
          <cell r="GV29">
            <v>0</v>
          </cell>
          <cell r="GW29" t="str">
            <v>nd</v>
          </cell>
          <cell r="GX29">
            <v>0</v>
          </cell>
          <cell r="GY29">
            <v>0</v>
          </cell>
          <cell r="GZ29">
            <v>0</v>
          </cell>
          <cell r="HA29">
            <v>0</v>
          </cell>
          <cell r="HB29">
            <v>0</v>
          </cell>
          <cell r="HC29">
            <v>0</v>
          </cell>
          <cell r="HD29">
            <v>0</v>
          </cell>
          <cell r="HE29">
            <v>0</v>
          </cell>
          <cell r="HF29">
            <v>0</v>
          </cell>
          <cell r="HG29">
            <v>0</v>
          </cell>
          <cell r="HH29">
            <v>0</v>
          </cell>
          <cell r="HI29">
            <v>0</v>
          </cell>
          <cell r="HJ29">
            <v>0</v>
          </cell>
          <cell r="HK29">
            <v>0</v>
          </cell>
          <cell r="HL29">
            <v>0</v>
          </cell>
          <cell r="HM29">
            <v>0</v>
          </cell>
          <cell r="HN29" t="str">
            <v>nd</v>
          </cell>
          <cell r="HO29">
            <v>0</v>
          </cell>
          <cell r="HP29">
            <v>0</v>
          </cell>
          <cell r="HQ29">
            <v>0</v>
          </cell>
          <cell r="HR29">
            <v>0</v>
          </cell>
          <cell r="HS29" t="str">
            <v>nd</v>
          </cell>
          <cell r="HT29" t="str">
            <v>nd</v>
          </cell>
          <cell r="HU29">
            <v>0</v>
          </cell>
          <cell r="HV29">
            <v>0</v>
          </cell>
          <cell r="HW29">
            <v>0</v>
          </cell>
          <cell r="HX29">
            <v>0</v>
          </cell>
          <cell r="HY29" t="str">
            <v>nd</v>
          </cell>
          <cell r="HZ29">
            <v>0</v>
          </cell>
          <cell r="IA29">
            <v>0</v>
          </cell>
          <cell r="IB29">
            <v>0</v>
          </cell>
          <cell r="IC29">
            <v>0</v>
          </cell>
          <cell r="ID29">
            <v>0</v>
          </cell>
          <cell r="IE29">
            <v>0</v>
          </cell>
          <cell r="IF29">
            <v>0</v>
          </cell>
          <cell r="IG29">
            <v>0</v>
          </cell>
          <cell r="IH29">
            <v>0</v>
          </cell>
          <cell r="II29">
            <v>0</v>
          </cell>
          <cell r="IJ29">
            <v>0</v>
          </cell>
          <cell r="IK29">
            <v>0</v>
          </cell>
          <cell r="IL29">
            <v>0</v>
          </cell>
          <cell r="IM29">
            <v>0</v>
          </cell>
          <cell r="IN29">
            <v>0</v>
          </cell>
          <cell r="IO29">
            <v>0</v>
          </cell>
          <cell r="IP29">
            <v>0</v>
          </cell>
          <cell r="IQ29" t="str">
            <v>nd</v>
          </cell>
          <cell r="IR29">
            <v>0</v>
          </cell>
          <cell r="IS29">
            <v>0</v>
          </cell>
          <cell r="IT29">
            <v>0</v>
          </cell>
          <cell r="IU29">
            <v>0</v>
          </cell>
          <cell r="IV29">
            <v>0</v>
          </cell>
          <cell r="IW29" t="str">
            <v>nd</v>
          </cell>
          <cell r="IX29">
            <v>0</v>
          </cell>
          <cell r="IY29">
            <v>0</v>
          </cell>
          <cell r="IZ29">
            <v>0</v>
          </cell>
          <cell r="JA29">
            <v>0</v>
          </cell>
          <cell r="JB29">
            <v>0</v>
          </cell>
          <cell r="JC29" t="str">
            <v>nd</v>
          </cell>
          <cell r="JD29">
            <v>0</v>
          </cell>
          <cell r="JE29">
            <v>0</v>
          </cell>
          <cell r="JF29">
            <v>0</v>
          </cell>
          <cell r="JG29">
            <v>0</v>
          </cell>
          <cell r="JH29">
            <v>0</v>
          </cell>
          <cell r="JI29">
            <v>0</v>
          </cell>
          <cell r="JJ29">
            <v>0</v>
          </cell>
          <cell r="JK29">
            <v>0</v>
          </cell>
          <cell r="JL29">
            <v>0</v>
          </cell>
          <cell r="JM29">
            <v>0</v>
          </cell>
          <cell r="JN29">
            <v>0</v>
          </cell>
          <cell r="JO29">
            <v>0</v>
          </cell>
          <cell r="JP29">
            <v>0</v>
          </cell>
          <cell r="JQ29">
            <v>0</v>
          </cell>
          <cell r="JR29">
            <v>0</v>
          </cell>
          <cell r="JS29">
            <v>0</v>
          </cell>
          <cell r="JT29" t="str">
            <v>nd</v>
          </cell>
          <cell r="JU29">
            <v>0</v>
          </cell>
          <cell r="JV29">
            <v>0</v>
          </cell>
          <cell r="JW29">
            <v>0</v>
          </cell>
          <cell r="JX29">
            <v>0</v>
          </cell>
          <cell r="JY29">
            <v>0</v>
          </cell>
          <cell r="JZ29" t="str">
            <v>nd</v>
          </cell>
          <cell r="KA29">
            <v>0</v>
          </cell>
          <cell r="KB29">
            <v>0</v>
          </cell>
          <cell r="KC29">
            <v>0</v>
          </cell>
          <cell r="KD29">
            <v>0</v>
          </cell>
          <cell r="KE29">
            <v>0</v>
          </cell>
          <cell r="KF29" t="str">
            <v>nd</v>
          </cell>
          <cell r="KG29">
            <v>0</v>
          </cell>
          <cell r="KH29">
            <v>0</v>
          </cell>
          <cell r="KI29">
            <v>0</v>
          </cell>
          <cell r="KJ29">
            <v>0</v>
          </cell>
          <cell r="KK29">
            <v>0</v>
          </cell>
          <cell r="KL29">
            <v>0</v>
          </cell>
          <cell r="KM29">
            <v>93.4</v>
          </cell>
          <cell r="KN29">
            <v>0.4</v>
          </cell>
          <cell r="KO29">
            <v>1.5</v>
          </cell>
          <cell r="KP29">
            <v>4.7</v>
          </cell>
          <cell r="KQ29">
            <v>0</v>
          </cell>
          <cell r="KR29">
            <v>0</v>
          </cell>
          <cell r="KS29">
            <v>93.4</v>
          </cell>
          <cell r="KT29">
            <v>0.4</v>
          </cell>
          <cell r="KU29">
            <v>1.5</v>
          </cell>
          <cell r="KV29">
            <v>4.7</v>
          </cell>
          <cell r="KW29">
            <v>0</v>
          </cell>
          <cell r="KX29">
            <v>0</v>
          </cell>
          <cell r="KY29"/>
          <cell r="KZ29"/>
          <cell r="LA29"/>
          <cell r="LB29"/>
          <cell r="LC29"/>
          <cell r="LD29"/>
          <cell r="LE29"/>
          <cell r="LF29"/>
          <cell r="LG29"/>
          <cell r="LH29"/>
          <cell r="LI29"/>
          <cell r="LJ29"/>
          <cell r="LK29"/>
          <cell r="LL29"/>
          <cell r="LM29"/>
          <cell r="LN29"/>
          <cell r="LO29"/>
        </row>
        <row r="30">
          <cell r="A30" t="str">
            <v>2C4</v>
          </cell>
          <cell r="B30" t="str">
            <v>30</v>
          </cell>
          <cell r="C30" t="str">
            <v>NAF 17</v>
          </cell>
          <cell r="D30" t="str">
            <v>C4</v>
          </cell>
          <cell r="E30" t="str">
            <v>2</v>
          </cell>
          <cell r="F30" t="str">
            <v>nd</v>
          </cell>
          <cell r="G30" t="str">
            <v>nd</v>
          </cell>
          <cell r="H30">
            <v>40.6</v>
          </cell>
          <cell r="I30">
            <v>33.6</v>
          </cell>
          <cell r="J30">
            <v>0</v>
          </cell>
          <cell r="K30">
            <v>84.6</v>
          </cell>
          <cell r="L30">
            <v>0</v>
          </cell>
          <cell r="M30" t="str">
            <v>nd</v>
          </cell>
          <cell r="N30">
            <v>0</v>
          </cell>
          <cell r="O30" t="str">
            <v>nd</v>
          </cell>
          <cell r="P30">
            <v>21.3</v>
          </cell>
          <cell r="Q30">
            <v>11.700000000000001</v>
          </cell>
          <cell r="R30" t="str">
            <v>nd</v>
          </cell>
          <cell r="S30" t="str">
            <v>nd</v>
          </cell>
          <cell r="T30">
            <v>41.5</v>
          </cell>
          <cell r="U30">
            <v>0</v>
          </cell>
          <cell r="V30" t="str">
            <v>nd</v>
          </cell>
          <cell r="W30">
            <v>40.699999999999996</v>
          </cell>
          <cell r="X30">
            <v>59.3</v>
          </cell>
          <cell r="Y30">
            <v>0</v>
          </cell>
          <cell r="Z30">
            <v>0</v>
          </cell>
          <cell r="AA30" t="str">
            <v>nd</v>
          </cell>
          <cell r="AB30" t="str">
            <v>nd</v>
          </cell>
          <cell r="AC30" t="str">
            <v>nd</v>
          </cell>
          <cell r="AD30" t="str">
            <v>nd</v>
          </cell>
          <cell r="AE30">
            <v>69.5</v>
          </cell>
          <cell r="AF30">
            <v>30.5</v>
          </cell>
          <cell r="AG30" t="str">
            <v>nd</v>
          </cell>
          <cell r="AH30">
            <v>72.399999999999991</v>
          </cell>
          <cell r="AI30">
            <v>88.9</v>
          </cell>
          <cell r="AJ30">
            <v>0</v>
          </cell>
          <cell r="AK30">
            <v>0</v>
          </cell>
          <cell r="AL30" t="str">
            <v>nd</v>
          </cell>
          <cell r="AM30">
            <v>0</v>
          </cell>
          <cell r="AN30" t="str">
            <v>nd</v>
          </cell>
          <cell r="AO30" t="str">
            <v>nd</v>
          </cell>
          <cell r="AP30">
            <v>0</v>
          </cell>
          <cell r="AQ30">
            <v>38.700000000000003</v>
          </cell>
          <cell r="AR30" t="str">
            <v>nd</v>
          </cell>
          <cell r="AS30">
            <v>56.399999999999991</v>
          </cell>
          <cell r="AT30" t="str">
            <v>nd</v>
          </cell>
          <cell r="AU30" t="str">
            <v>nd</v>
          </cell>
          <cell r="AV30">
            <v>0</v>
          </cell>
          <cell r="AW30">
            <v>0</v>
          </cell>
          <cell r="AX30" t="str">
            <v>nd</v>
          </cell>
          <cell r="AY30">
            <v>0</v>
          </cell>
          <cell r="AZ30">
            <v>0</v>
          </cell>
          <cell r="BA30">
            <v>0</v>
          </cell>
          <cell r="BB30">
            <v>0</v>
          </cell>
          <cell r="BC30" t="str">
            <v>nd</v>
          </cell>
          <cell r="BD30">
            <v>75.400000000000006</v>
          </cell>
          <cell r="BE30" t="str">
            <v>nd</v>
          </cell>
          <cell r="BF30">
            <v>0</v>
          </cell>
          <cell r="BG30" t="str">
            <v>nd</v>
          </cell>
          <cell r="BH30">
            <v>0</v>
          </cell>
          <cell r="BI30">
            <v>37.200000000000003</v>
          </cell>
          <cell r="BJ30">
            <v>53.7</v>
          </cell>
          <cell r="BK30">
            <v>0</v>
          </cell>
          <cell r="BL30">
            <v>0</v>
          </cell>
          <cell r="BM30">
            <v>0</v>
          </cell>
          <cell r="BN30" t="str">
            <v>nd</v>
          </cell>
          <cell r="BO30">
            <v>32.300000000000004</v>
          </cell>
          <cell r="BP30">
            <v>55.7</v>
          </cell>
          <cell r="BQ30">
            <v>0</v>
          </cell>
          <cell r="BR30">
            <v>0</v>
          </cell>
          <cell r="BS30">
            <v>0</v>
          </cell>
          <cell r="BT30">
            <v>0</v>
          </cell>
          <cell r="BU30">
            <v>39</v>
          </cell>
          <cell r="BV30">
            <v>61</v>
          </cell>
          <cell r="BW30">
            <v>0</v>
          </cell>
          <cell r="BX30">
            <v>0</v>
          </cell>
          <cell r="BY30">
            <v>0</v>
          </cell>
          <cell r="BZ30">
            <v>0</v>
          </cell>
          <cell r="CA30">
            <v>0</v>
          </cell>
          <cell r="CB30">
            <v>100</v>
          </cell>
          <cell r="CC30">
            <v>42.5</v>
          </cell>
          <cell r="CD30" t="str">
            <v>nd</v>
          </cell>
          <cell r="CE30" t="str">
            <v>nd</v>
          </cell>
          <cell r="CF30">
            <v>0</v>
          </cell>
          <cell r="CG30">
            <v>0</v>
          </cell>
          <cell r="CH30">
            <v>54.400000000000006</v>
          </cell>
          <cell r="CI30" t="str">
            <v>nd</v>
          </cell>
          <cell r="CJ30" t="str">
            <v>nd</v>
          </cell>
          <cell r="CK30">
            <v>21.4</v>
          </cell>
          <cell r="CL30" t="str">
            <v>nd</v>
          </cell>
          <cell r="CM30" t="str">
            <v>nd</v>
          </cell>
          <cell r="CN30" t="str">
            <v>nd</v>
          </cell>
          <cell r="CO30">
            <v>85.3</v>
          </cell>
          <cell r="CP30">
            <v>0</v>
          </cell>
          <cell r="CQ30">
            <v>37.700000000000003</v>
          </cell>
          <cell r="CR30" t="str">
            <v>nd</v>
          </cell>
          <cell r="CS30">
            <v>59.9</v>
          </cell>
          <cell r="CT30" t="str">
            <v>nd</v>
          </cell>
          <cell r="CU30">
            <v>95.1</v>
          </cell>
          <cell r="CV30" t="str">
            <v>nd</v>
          </cell>
          <cell r="CW30">
            <v>97.399999999999991</v>
          </cell>
          <cell r="CX30" t="str">
            <v>nd</v>
          </cell>
          <cell r="CY30">
            <v>57.699999999999996</v>
          </cell>
          <cell r="CZ30">
            <v>39.800000000000004</v>
          </cell>
          <cell r="DA30">
            <v>0</v>
          </cell>
          <cell r="DB30">
            <v>0</v>
          </cell>
          <cell r="DC30">
            <v>0</v>
          </cell>
          <cell r="DD30">
            <v>0</v>
          </cell>
          <cell r="DE30" t="str">
            <v>nd</v>
          </cell>
          <cell r="DF30" t="str">
            <v>nd</v>
          </cell>
          <cell r="DG30" t="str">
            <v>nd</v>
          </cell>
          <cell r="DH30">
            <v>0</v>
          </cell>
          <cell r="DI30" t="str">
            <v>nd</v>
          </cell>
          <cell r="DJ30">
            <v>29.4</v>
          </cell>
          <cell r="DK30">
            <v>44.1</v>
          </cell>
          <cell r="DL30">
            <v>23.400000000000002</v>
          </cell>
          <cell r="DM30">
            <v>54.800000000000004</v>
          </cell>
          <cell r="DN30" t="str">
            <v>nd</v>
          </cell>
          <cell r="DO30" t="str">
            <v>nd</v>
          </cell>
          <cell r="DP30" t="str">
            <v>nd</v>
          </cell>
          <cell r="DQ30">
            <v>0</v>
          </cell>
          <cell r="DR30" t="str">
            <v>nd</v>
          </cell>
          <cell r="DS30" t="str">
            <v>nd</v>
          </cell>
          <cell r="DT30" t="str">
            <v>nd</v>
          </cell>
          <cell r="DU30">
            <v>0</v>
          </cell>
          <cell r="DV30">
            <v>0</v>
          </cell>
          <cell r="DW30">
            <v>0</v>
          </cell>
          <cell r="DX30">
            <v>0</v>
          </cell>
          <cell r="DY30" t="str">
            <v>nd</v>
          </cell>
          <cell r="DZ30" t="str">
            <v>nd</v>
          </cell>
          <cell r="EA30">
            <v>0</v>
          </cell>
          <cell r="EB30" t="str">
            <v>nd</v>
          </cell>
          <cell r="EC30">
            <v>0</v>
          </cell>
          <cell r="ED30">
            <v>0</v>
          </cell>
          <cell r="EE30">
            <v>0</v>
          </cell>
          <cell r="EF30" t="str">
            <v>nd</v>
          </cell>
          <cell r="EG30" t="str">
            <v>nd</v>
          </cell>
          <cell r="EH30">
            <v>0</v>
          </cell>
          <cell r="EI30">
            <v>0</v>
          </cell>
          <cell r="EJ30">
            <v>0</v>
          </cell>
          <cell r="EK30">
            <v>0</v>
          </cell>
          <cell r="EL30">
            <v>30.4810029</v>
          </cell>
          <cell r="EM30">
            <v>0</v>
          </cell>
          <cell r="EN30" t="str">
            <v>nd</v>
          </cell>
          <cell r="EO30">
            <v>0</v>
          </cell>
          <cell r="EP30">
            <v>0</v>
          </cell>
          <cell r="EQ30">
            <v>0</v>
          </cell>
          <cell r="ER30">
            <v>0</v>
          </cell>
          <cell r="ES30">
            <v>0</v>
          </cell>
          <cell r="ET30">
            <v>0</v>
          </cell>
          <cell r="EU30">
            <v>0</v>
          </cell>
          <cell r="EV30">
            <v>0</v>
          </cell>
          <cell r="EW30">
            <v>0</v>
          </cell>
          <cell r="EX30">
            <v>0</v>
          </cell>
          <cell r="EY30">
            <v>0</v>
          </cell>
          <cell r="EZ30">
            <v>0</v>
          </cell>
          <cell r="FA30">
            <v>0</v>
          </cell>
          <cell r="FB30" t="str">
            <v>nd</v>
          </cell>
          <cell r="FC30">
            <v>0</v>
          </cell>
          <cell r="FD30">
            <v>0</v>
          </cell>
          <cell r="FE30">
            <v>0</v>
          </cell>
          <cell r="FF30">
            <v>0</v>
          </cell>
          <cell r="FG30" t="str">
            <v>nd</v>
          </cell>
          <cell r="FH30" t="str">
            <v>nd</v>
          </cell>
          <cell r="FI30">
            <v>0</v>
          </cell>
          <cell r="FJ30">
            <v>0</v>
          </cell>
          <cell r="FK30">
            <v>0</v>
          </cell>
          <cell r="FL30">
            <v>0</v>
          </cell>
          <cell r="FM30" t="str">
            <v>nd</v>
          </cell>
          <cell r="FN30">
            <v>22.0503213</v>
          </cell>
          <cell r="FO30">
            <v>0</v>
          </cell>
          <cell r="FP30">
            <v>0</v>
          </cell>
          <cell r="FQ30">
            <v>0</v>
          </cell>
          <cell r="FR30">
            <v>0</v>
          </cell>
          <cell r="FS30">
            <v>0</v>
          </cell>
          <cell r="FT30">
            <v>28.008563500000001</v>
          </cell>
          <cell r="FU30">
            <v>0</v>
          </cell>
          <cell r="FV30">
            <v>0</v>
          </cell>
          <cell r="FW30">
            <v>0</v>
          </cell>
          <cell r="FX30">
            <v>0</v>
          </cell>
          <cell r="FY30">
            <v>0</v>
          </cell>
          <cell r="FZ30">
            <v>0</v>
          </cell>
          <cell r="GA30" t="str">
            <v>nd</v>
          </cell>
          <cell r="GB30">
            <v>0</v>
          </cell>
          <cell r="GC30">
            <v>0</v>
          </cell>
          <cell r="GD30">
            <v>0</v>
          </cell>
          <cell r="GE30">
            <v>0</v>
          </cell>
          <cell r="GF30">
            <v>0</v>
          </cell>
          <cell r="GG30">
            <v>0</v>
          </cell>
          <cell r="GH30" t="str">
            <v>nd</v>
          </cell>
          <cell r="GI30">
            <v>0</v>
          </cell>
          <cell r="GJ30">
            <v>0</v>
          </cell>
          <cell r="GK30" t="str">
            <v>nd</v>
          </cell>
          <cell r="GL30">
            <v>0</v>
          </cell>
          <cell r="GM30">
            <v>0</v>
          </cell>
          <cell r="GN30">
            <v>0</v>
          </cell>
          <cell r="GO30">
            <v>0</v>
          </cell>
          <cell r="GP30">
            <v>29.500842200000001</v>
          </cell>
          <cell r="GQ30" t="str">
            <v>nd</v>
          </cell>
          <cell r="GR30">
            <v>0</v>
          </cell>
          <cell r="GS30">
            <v>0</v>
          </cell>
          <cell r="GT30">
            <v>0</v>
          </cell>
          <cell r="GU30">
            <v>0</v>
          </cell>
          <cell r="GV30" t="str">
            <v>nd</v>
          </cell>
          <cell r="GW30">
            <v>25.852108699999999</v>
          </cell>
          <cell r="GX30">
            <v>0</v>
          </cell>
          <cell r="GY30">
            <v>0</v>
          </cell>
          <cell r="GZ30">
            <v>0</v>
          </cell>
          <cell r="HA30">
            <v>0</v>
          </cell>
          <cell r="HB30">
            <v>0</v>
          </cell>
          <cell r="HC30">
            <v>0</v>
          </cell>
          <cell r="HD30">
            <v>0</v>
          </cell>
          <cell r="HE30">
            <v>0</v>
          </cell>
          <cell r="HF30">
            <v>0</v>
          </cell>
          <cell r="HG30">
            <v>0</v>
          </cell>
          <cell r="HH30" t="str">
            <v>nd</v>
          </cell>
          <cell r="HI30">
            <v>0</v>
          </cell>
          <cell r="HJ30">
            <v>0</v>
          </cell>
          <cell r="HK30">
            <v>0</v>
          </cell>
          <cell r="HL30">
            <v>0</v>
          </cell>
          <cell r="HM30" t="str">
            <v>nd</v>
          </cell>
          <cell r="HN30" t="str">
            <v>nd</v>
          </cell>
          <cell r="HO30">
            <v>0</v>
          </cell>
          <cell r="HP30">
            <v>0</v>
          </cell>
          <cell r="HQ30">
            <v>0</v>
          </cell>
          <cell r="HR30" t="str">
            <v>nd</v>
          </cell>
          <cell r="HS30" t="str">
            <v>nd</v>
          </cell>
          <cell r="HT30" t="str">
            <v>nd</v>
          </cell>
          <cell r="HU30">
            <v>0</v>
          </cell>
          <cell r="HV30">
            <v>0</v>
          </cell>
          <cell r="HW30">
            <v>0</v>
          </cell>
          <cell r="HX30">
            <v>0</v>
          </cell>
          <cell r="HY30" t="str">
            <v>nd</v>
          </cell>
          <cell r="HZ30" t="str">
            <v>nd</v>
          </cell>
          <cell r="IA30">
            <v>0</v>
          </cell>
          <cell r="IB30">
            <v>0</v>
          </cell>
          <cell r="IC30">
            <v>0</v>
          </cell>
          <cell r="ID30">
            <v>0</v>
          </cell>
          <cell r="IE30">
            <v>0</v>
          </cell>
          <cell r="IF30">
            <v>0</v>
          </cell>
          <cell r="IG30">
            <v>0</v>
          </cell>
          <cell r="IH30">
            <v>0</v>
          </cell>
          <cell r="II30">
            <v>0</v>
          </cell>
          <cell r="IJ30">
            <v>0</v>
          </cell>
          <cell r="IK30" t="str">
            <v>nd</v>
          </cell>
          <cell r="IL30">
            <v>0</v>
          </cell>
          <cell r="IM30">
            <v>0</v>
          </cell>
          <cell r="IN30">
            <v>0</v>
          </cell>
          <cell r="IO30">
            <v>0</v>
          </cell>
          <cell r="IP30">
            <v>0</v>
          </cell>
          <cell r="IQ30" t="str">
            <v>nd</v>
          </cell>
          <cell r="IR30">
            <v>0</v>
          </cell>
          <cell r="IS30">
            <v>0</v>
          </cell>
          <cell r="IT30">
            <v>0</v>
          </cell>
          <cell r="IU30">
            <v>0</v>
          </cell>
          <cell r="IV30" t="str">
            <v>nd</v>
          </cell>
          <cell r="IW30" t="str">
            <v>nd</v>
          </cell>
          <cell r="IX30">
            <v>0</v>
          </cell>
          <cell r="IY30">
            <v>0</v>
          </cell>
          <cell r="IZ30">
            <v>0</v>
          </cell>
          <cell r="JA30">
            <v>0</v>
          </cell>
          <cell r="JB30" t="str">
            <v>nd</v>
          </cell>
          <cell r="JC30" t="str">
            <v>nd</v>
          </cell>
          <cell r="JD30">
            <v>0</v>
          </cell>
          <cell r="JE30">
            <v>0</v>
          </cell>
          <cell r="JF30">
            <v>0</v>
          </cell>
          <cell r="JG30">
            <v>0</v>
          </cell>
          <cell r="JH30">
            <v>0</v>
          </cell>
          <cell r="JI30">
            <v>0</v>
          </cell>
          <cell r="JJ30">
            <v>0</v>
          </cell>
          <cell r="JK30">
            <v>0</v>
          </cell>
          <cell r="JL30">
            <v>0</v>
          </cell>
          <cell r="JM30">
            <v>0</v>
          </cell>
          <cell r="JN30" t="str">
            <v>nd</v>
          </cell>
          <cell r="JO30">
            <v>0</v>
          </cell>
          <cell r="JP30">
            <v>0</v>
          </cell>
          <cell r="JQ30">
            <v>0</v>
          </cell>
          <cell r="JR30">
            <v>0</v>
          </cell>
          <cell r="JS30">
            <v>0</v>
          </cell>
          <cell r="JT30" t="str">
            <v>nd</v>
          </cell>
          <cell r="JU30">
            <v>0</v>
          </cell>
          <cell r="JV30">
            <v>0</v>
          </cell>
          <cell r="JW30">
            <v>0</v>
          </cell>
          <cell r="JX30">
            <v>0</v>
          </cell>
          <cell r="JY30">
            <v>0</v>
          </cell>
          <cell r="JZ30">
            <v>44.014389700000002</v>
          </cell>
          <cell r="KA30">
            <v>0</v>
          </cell>
          <cell r="KB30">
            <v>0</v>
          </cell>
          <cell r="KC30">
            <v>0</v>
          </cell>
          <cell r="KD30">
            <v>0</v>
          </cell>
          <cell r="KE30">
            <v>0</v>
          </cell>
          <cell r="KF30">
            <v>28.008563500000001</v>
          </cell>
          <cell r="KG30">
            <v>0</v>
          </cell>
          <cell r="KH30">
            <v>0</v>
          </cell>
          <cell r="KI30">
            <v>0</v>
          </cell>
          <cell r="KJ30">
            <v>0</v>
          </cell>
          <cell r="KK30">
            <v>0</v>
          </cell>
          <cell r="KL30">
            <v>0</v>
          </cell>
          <cell r="KM30">
            <v>82.5</v>
          </cell>
          <cell r="KN30">
            <v>1.4000000000000001</v>
          </cell>
          <cell r="KO30">
            <v>9.9</v>
          </cell>
          <cell r="KP30">
            <v>4.1000000000000005</v>
          </cell>
          <cell r="KQ30">
            <v>2</v>
          </cell>
          <cell r="KR30">
            <v>0</v>
          </cell>
          <cell r="KS30">
            <v>81.599999999999994</v>
          </cell>
          <cell r="KT30">
            <v>1.5</v>
          </cell>
          <cell r="KU30">
            <v>9.9</v>
          </cell>
          <cell r="KV30">
            <v>5.0999999999999996</v>
          </cell>
          <cell r="KW30">
            <v>2</v>
          </cell>
          <cell r="KX30">
            <v>0</v>
          </cell>
          <cell r="KY30"/>
          <cell r="KZ30"/>
          <cell r="LA30"/>
          <cell r="LB30"/>
          <cell r="LC30"/>
          <cell r="LD30"/>
          <cell r="LE30"/>
          <cell r="LF30"/>
          <cell r="LG30"/>
          <cell r="LH30"/>
          <cell r="LI30"/>
          <cell r="LJ30"/>
          <cell r="LK30"/>
          <cell r="LL30"/>
          <cell r="LM30"/>
          <cell r="LN30"/>
          <cell r="LO30"/>
        </row>
        <row r="31">
          <cell r="A31" t="str">
            <v>3C4</v>
          </cell>
          <cell r="B31" t="str">
            <v>31</v>
          </cell>
          <cell r="C31" t="str">
            <v>NAF 17</v>
          </cell>
          <cell r="D31" t="str">
            <v>C4</v>
          </cell>
          <cell r="E31" t="str">
            <v>3</v>
          </cell>
          <cell r="F31">
            <v>0</v>
          </cell>
          <cell r="G31">
            <v>15.5</v>
          </cell>
          <cell r="H31">
            <v>26.8</v>
          </cell>
          <cell r="I31">
            <v>53.300000000000004</v>
          </cell>
          <cell r="J31" t="str">
            <v>nd</v>
          </cell>
          <cell r="K31">
            <v>100</v>
          </cell>
          <cell r="L31">
            <v>0</v>
          </cell>
          <cell r="M31">
            <v>0</v>
          </cell>
          <cell r="N31">
            <v>0</v>
          </cell>
          <cell r="O31">
            <v>25.900000000000002</v>
          </cell>
          <cell r="P31" t="str">
            <v>nd</v>
          </cell>
          <cell r="Q31" t="str">
            <v>nd</v>
          </cell>
          <cell r="R31">
            <v>0</v>
          </cell>
          <cell r="S31">
            <v>0</v>
          </cell>
          <cell r="T31">
            <v>89.8</v>
          </cell>
          <cell r="U31">
            <v>0</v>
          </cell>
          <cell r="V31" t="str">
            <v>nd</v>
          </cell>
          <cell r="W31" t="str">
            <v>nd</v>
          </cell>
          <cell r="X31">
            <v>92.5</v>
          </cell>
          <cell r="Y31">
            <v>0</v>
          </cell>
          <cell r="Z31" t="str">
            <v>nd</v>
          </cell>
          <cell r="AA31" t="str">
            <v>nd</v>
          </cell>
          <cell r="AB31">
            <v>0</v>
          </cell>
          <cell r="AC31">
            <v>0</v>
          </cell>
          <cell r="AD31">
            <v>0</v>
          </cell>
          <cell r="AE31">
            <v>80.100000000000009</v>
          </cell>
          <cell r="AF31">
            <v>19.900000000000002</v>
          </cell>
          <cell r="AG31">
            <v>41.699999999999996</v>
          </cell>
          <cell r="AH31">
            <v>58.3</v>
          </cell>
          <cell r="AI31">
            <v>81</v>
          </cell>
          <cell r="AJ31">
            <v>0</v>
          </cell>
          <cell r="AK31" t="str">
            <v>nd</v>
          </cell>
          <cell r="AL31" t="str">
            <v>nd</v>
          </cell>
          <cell r="AM31">
            <v>0</v>
          </cell>
          <cell r="AN31">
            <v>0</v>
          </cell>
          <cell r="AO31" t="str">
            <v>nd</v>
          </cell>
          <cell r="AP31">
            <v>0</v>
          </cell>
          <cell r="AQ31">
            <v>87</v>
          </cell>
          <cell r="AR31" t="str">
            <v>nd</v>
          </cell>
          <cell r="AS31">
            <v>71.8</v>
          </cell>
          <cell r="AT31">
            <v>11.600000000000001</v>
          </cell>
          <cell r="AU31" t="str">
            <v>nd</v>
          </cell>
          <cell r="AV31" t="str">
            <v>nd</v>
          </cell>
          <cell r="AW31">
            <v>0</v>
          </cell>
          <cell r="AX31">
            <v>0</v>
          </cell>
          <cell r="AY31">
            <v>0</v>
          </cell>
          <cell r="AZ31">
            <v>0</v>
          </cell>
          <cell r="BA31" t="str">
            <v>nd</v>
          </cell>
          <cell r="BB31" t="str">
            <v>nd</v>
          </cell>
          <cell r="BC31">
            <v>41.3</v>
          </cell>
          <cell r="BD31">
            <v>43.7</v>
          </cell>
          <cell r="BE31">
            <v>0</v>
          </cell>
          <cell r="BF31">
            <v>0</v>
          </cell>
          <cell r="BG31">
            <v>0</v>
          </cell>
          <cell r="BH31" t="str">
            <v>nd</v>
          </cell>
          <cell r="BI31">
            <v>37.799999999999997</v>
          </cell>
          <cell r="BJ31">
            <v>53.1</v>
          </cell>
          <cell r="BK31">
            <v>0</v>
          </cell>
          <cell r="BL31">
            <v>0</v>
          </cell>
          <cell r="BM31">
            <v>0</v>
          </cell>
          <cell r="BN31" t="str">
            <v>nd</v>
          </cell>
          <cell r="BO31">
            <v>83.2</v>
          </cell>
          <cell r="BP31" t="str">
            <v>nd</v>
          </cell>
          <cell r="BQ31">
            <v>0</v>
          </cell>
          <cell r="BR31">
            <v>0</v>
          </cell>
          <cell r="BS31">
            <v>0</v>
          </cell>
          <cell r="BT31" t="str">
            <v>nd</v>
          </cell>
          <cell r="BU31">
            <v>58.8</v>
          </cell>
          <cell r="BV31">
            <v>36.700000000000003</v>
          </cell>
          <cell r="BW31">
            <v>0</v>
          </cell>
          <cell r="BX31">
            <v>0</v>
          </cell>
          <cell r="BY31">
            <v>0</v>
          </cell>
          <cell r="BZ31">
            <v>0</v>
          </cell>
          <cell r="CA31" t="str">
            <v>nd</v>
          </cell>
          <cell r="CB31">
            <v>95.399999999999991</v>
          </cell>
          <cell r="CC31">
            <v>0</v>
          </cell>
          <cell r="CD31" t="str">
            <v>nd</v>
          </cell>
          <cell r="CE31">
            <v>0</v>
          </cell>
          <cell r="CF31">
            <v>0</v>
          </cell>
          <cell r="CG31">
            <v>0</v>
          </cell>
          <cell r="CH31" t="str">
            <v>nd</v>
          </cell>
          <cell r="CI31" t="str">
            <v>nd</v>
          </cell>
          <cell r="CJ31">
            <v>81.2</v>
          </cell>
          <cell r="CK31">
            <v>69.199999999999989</v>
          </cell>
          <cell r="CL31">
            <v>14.299999999999999</v>
          </cell>
          <cell r="CM31" t="str">
            <v>nd</v>
          </cell>
          <cell r="CN31" t="str">
            <v>nd</v>
          </cell>
          <cell r="CO31">
            <v>27.6</v>
          </cell>
          <cell r="CP31">
            <v>45.300000000000004</v>
          </cell>
          <cell r="CQ31">
            <v>28.7</v>
          </cell>
          <cell r="CR31" t="str">
            <v>nd</v>
          </cell>
          <cell r="CS31">
            <v>13.4</v>
          </cell>
          <cell r="CT31">
            <v>0</v>
          </cell>
          <cell r="CU31">
            <v>100</v>
          </cell>
          <cell r="CV31">
            <v>21.8</v>
          </cell>
          <cell r="CW31">
            <v>78.2</v>
          </cell>
          <cell r="CX31" t="str">
            <v>nd</v>
          </cell>
          <cell r="CY31">
            <v>18</v>
          </cell>
          <cell r="CZ31">
            <v>77.400000000000006</v>
          </cell>
          <cell r="DA31">
            <v>0</v>
          </cell>
          <cell r="DB31">
            <v>0</v>
          </cell>
          <cell r="DC31">
            <v>0</v>
          </cell>
          <cell r="DD31">
            <v>0</v>
          </cell>
          <cell r="DE31" t="str">
            <v>nd</v>
          </cell>
          <cell r="DF31" t="str">
            <v>nd</v>
          </cell>
          <cell r="DG31">
            <v>0</v>
          </cell>
          <cell r="DH31">
            <v>18.8</v>
          </cell>
          <cell r="DI31" t="str">
            <v>nd</v>
          </cell>
          <cell r="DJ31">
            <v>31.900000000000002</v>
          </cell>
          <cell r="DK31" t="str">
            <v>nd</v>
          </cell>
          <cell r="DL31" t="str">
            <v>nd</v>
          </cell>
          <cell r="DM31">
            <v>79.800000000000011</v>
          </cell>
          <cell r="DN31">
            <v>0</v>
          </cell>
          <cell r="DO31">
            <v>16.900000000000002</v>
          </cell>
          <cell r="DP31">
            <v>13.600000000000001</v>
          </cell>
          <cell r="DQ31">
            <v>0</v>
          </cell>
          <cell r="DR31">
            <v>13</v>
          </cell>
          <cell r="DS31">
            <v>12</v>
          </cell>
          <cell r="DT31">
            <v>0</v>
          </cell>
          <cell r="DU31">
            <v>0</v>
          </cell>
          <cell r="DV31">
            <v>0</v>
          </cell>
          <cell r="DW31">
            <v>0</v>
          </cell>
          <cell r="DX31">
            <v>0</v>
          </cell>
          <cell r="DY31">
            <v>0</v>
          </cell>
          <cell r="DZ31" t="str">
            <v>nd</v>
          </cell>
          <cell r="EA31">
            <v>0</v>
          </cell>
          <cell r="EB31" t="str">
            <v>nd</v>
          </cell>
          <cell r="EC31">
            <v>0</v>
          </cell>
          <cell r="ED31">
            <v>0</v>
          </cell>
          <cell r="EE31">
            <v>0</v>
          </cell>
          <cell r="EF31">
            <v>15.191996799999998</v>
          </cell>
          <cell r="EG31">
            <v>11.603946199999999</v>
          </cell>
          <cell r="EH31">
            <v>0</v>
          </cell>
          <cell r="EI31">
            <v>0</v>
          </cell>
          <cell r="EJ31">
            <v>0</v>
          </cell>
          <cell r="EK31">
            <v>0</v>
          </cell>
          <cell r="EL31">
            <v>47.073359699999997</v>
          </cell>
          <cell r="EM31">
            <v>0</v>
          </cell>
          <cell r="EN31">
            <v>0</v>
          </cell>
          <cell r="EO31" t="str">
            <v>nd</v>
          </cell>
          <cell r="EP31">
            <v>0</v>
          </cell>
          <cell r="EQ31">
            <v>0</v>
          </cell>
          <cell r="ER31" t="str">
            <v>nd</v>
          </cell>
          <cell r="ES31">
            <v>0</v>
          </cell>
          <cell r="ET31">
            <v>0</v>
          </cell>
          <cell r="EU31">
            <v>0</v>
          </cell>
          <cell r="EV31">
            <v>0</v>
          </cell>
          <cell r="EW31">
            <v>0</v>
          </cell>
          <cell r="EX31">
            <v>0</v>
          </cell>
          <cell r="EY31">
            <v>0</v>
          </cell>
          <cell r="EZ31">
            <v>0</v>
          </cell>
          <cell r="FA31">
            <v>0</v>
          </cell>
          <cell r="FB31">
            <v>0</v>
          </cell>
          <cell r="FC31">
            <v>0</v>
          </cell>
          <cell r="FD31">
            <v>0</v>
          </cell>
          <cell r="FE31" t="str">
            <v>nd</v>
          </cell>
          <cell r="FF31">
            <v>0</v>
          </cell>
          <cell r="FG31" t="str">
            <v>nd</v>
          </cell>
          <cell r="FH31">
            <v>0</v>
          </cell>
          <cell r="FI31">
            <v>0</v>
          </cell>
          <cell r="FJ31">
            <v>0</v>
          </cell>
          <cell r="FK31">
            <v>0</v>
          </cell>
          <cell r="FL31" t="str">
            <v>nd</v>
          </cell>
          <cell r="FM31">
            <v>19.320897600000002</v>
          </cell>
          <cell r="FN31" t="str">
            <v>nd</v>
          </cell>
          <cell r="FO31">
            <v>0</v>
          </cell>
          <cell r="FP31">
            <v>0</v>
          </cell>
          <cell r="FQ31" t="str">
            <v>nd</v>
          </cell>
          <cell r="FR31">
            <v>0</v>
          </cell>
          <cell r="FS31" t="str">
            <v>nd</v>
          </cell>
          <cell r="FT31" t="str">
            <v>nd</v>
          </cell>
          <cell r="FU31">
            <v>0</v>
          </cell>
          <cell r="FV31">
            <v>0</v>
          </cell>
          <cell r="FW31">
            <v>0</v>
          </cell>
          <cell r="FX31">
            <v>0</v>
          </cell>
          <cell r="FY31" t="str">
            <v>nd</v>
          </cell>
          <cell r="FZ31">
            <v>0</v>
          </cell>
          <cell r="GA31">
            <v>0</v>
          </cell>
          <cell r="GB31">
            <v>0</v>
          </cell>
          <cell r="GC31">
            <v>0</v>
          </cell>
          <cell r="GD31">
            <v>0</v>
          </cell>
          <cell r="GE31">
            <v>0</v>
          </cell>
          <cell r="GF31">
            <v>0</v>
          </cell>
          <cell r="GG31">
            <v>0</v>
          </cell>
          <cell r="GH31">
            <v>0</v>
          </cell>
          <cell r="GI31" t="str">
            <v>nd</v>
          </cell>
          <cell r="GJ31" t="str">
            <v>nd</v>
          </cell>
          <cell r="GK31">
            <v>0</v>
          </cell>
          <cell r="GL31">
            <v>0</v>
          </cell>
          <cell r="GM31">
            <v>0</v>
          </cell>
          <cell r="GN31">
            <v>0</v>
          </cell>
          <cell r="GO31" t="str">
            <v>nd</v>
          </cell>
          <cell r="GP31">
            <v>17.474840699999998</v>
          </cell>
          <cell r="GQ31" t="str">
            <v>nd</v>
          </cell>
          <cell r="GR31">
            <v>0</v>
          </cell>
          <cell r="GS31">
            <v>0</v>
          </cell>
          <cell r="GT31">
            <v>0</v>
          </cell>
          <cell r="GU31">
            <v>0</v>
          </cell>
          <cell r="GV31" t="str">
            <v>nd</v>
          </cell>
          <cell r="GW31">
            <v>42.710432500000003</v>
          </cell>
          <cell r="GX31">
            <v>0</v>
          </cell>
          <cell r="GY31">
            <v>0</v>
          </cell>
          <cell r="GZ31">
            <v>0</v>
          </cell>
          <cell r="HA31">
            <v>0</v>
          </cell>
          <cell r="HB31">
            <v>0</v>
          </cell>
          <cell r="HC31" t="str">
            <v>nd</v>
          </cell>
          <cell r="HD31">
            <v>0</v>
          </cell>
          <cell r="HE31">
            <v>0</v>
          </cell>
          <cell r="HF31">
            <v>0</v>
          </cell>
          <cell r="HG31">
            <v>0</v>
          </cell>
          <cell r="HH31">
            <v>0</v>
          </cell>
          <cell r="HI31">
            <v>0</v>
          </cell>
          <cell r="HJ31">
            <v>0</v>
          </cell>
          <cell r="HK31">
            <v>0</v>
          </cell>
          <cell r="HL31" t="str">
            <v>nd</v>
          </cell>
          <cell r="HM31" t="str">
            <v>nd</v>
          </cell>
          <cell r="HN31">
            <v>0</v>
          </cell>
          <cell r="HO31">
            <v>0</v>
          </cell>
          <cell r="HP31">
            <v>0</v>
          </cell>
          <cell r="HQ31">
            <v>0</v>
          </cell>
          <cell r="HR31">
            <v>0</v>
          </cell>
          <cell r="HS31">
            <v>22.590061500000001</v>
          </cell>
          <cell r="HT31" t="str">
            <v>nd</v>
          </cell>
          <cell r="HU31">
            <v>0</v>
          </cell>
          <cell r="HV31">
            <v>0</v>
          </cell>
          <cell r="HW31">
            <v>0</v>
          </cell>
          <cell r="HX31">
            <v>0</v>
          </cell>
          <cell r="HY31">
            <v>45.2507789</v>
          </cell>
          <cell r="HZ31" t="str">
            <v>nd</v>
          </cell>
          <cell r="IA31">
            <v>0</v>
          </cell>
          <cell r="IB31">
            <v>0</v>
          </cell>
          <cell r="IC31">
            <v>0</v>
          </cell>
          <cell r="ID31">
            <v>0</v>
          </cell>
          <cell r="IE31" t="str">
            <v>nd</v>
          </cell>
          <cell r="IF31">
            <v>0</v>
          </cell>
          <cell r="IG31">
            <v>0</v>
          </cell>
          <cell r="IH31">
            <v>0</v>
          </cell>
          <cell r="II31">
            <v>0</v>
          </cell>
          <cell r="IJ31">
            <v>0</v>
          </cell>
          <cell r="IK31">
            <v>0</v>
          </cell>
          <cell r="IL31">
            <v>0</v>
          </cell>
          <cell r="IM31">
            <v>0</v>
          </cell>
          <cell r="IN31">
            <v>0</v>
          </cell>
          <cell r="IO31" t="str">
            <v>nd</v>
          </cell>
          <cell r="IP31" t="str">
            <v>nd</v>
          </cell>
          <cell r="IQ31" t="str">
            <v>nd</v>
          </cell>
          <cell r="IR31">
            <v>0</v>
          </cell>
          <cell r="IS31">
            <v>0</v>
          </cell>
          <cell r="IT31">
            <v>0</v>
          </cell>
          <cell r="IU31">
            <v>0</v>
          </cell>
          <cell r="IV31">
            <v>0</v>
          </cell>
          <cell r="IW31">
            <v>26.795943000000001</v>
          </cell>
          <cell r="IX31">
            <v>0</v>
          </cell>
          <cell r="IY31">
            <v>0</v>
          </cell>
          <cell r="IZ31">
            <v>0</v>
          </cell>
          <cell r="JA31">
            <v>0</v>
          </cell>
          <cell r="JB31">
            <v>49.228182699999998</v>
          </cell>
          <cell r="JC31" t="str">
            <v>nd</v>
          </cell>
          <cell r="JD31">
            <v>0</v>
          </cell>
          <cell r="JE31">
            <v>0</v>
          </cell>
          <cell r="JF31">
            <v>0</v>
          </cell>
          <cell r="JG31">
            <v>0</v>
          </cell>
          <cell r="JH31" t="str">
            <v>nd</v>
          </cell>
          <cell r="JI31">
            <v>0</v>
          </cell>
          <cell r="JJ31">
            <v>0</v>
          </cell>
          <cell r="JK31">
            <v>0</v>
          </cell>
          <cell r="JL31">
            <v>0</v>
          </cell>
          <cell r="JM31">
            <v>0</v>
          </cell>
          <cell r="JN31">
            <v>0</v>
          </cell>
          <cell r="JO31">
            <v>0</v>
          </cell>
          <cell r="JP31">
            <v>0</v>
          </cell>
          <cell r="JQ31">
            <v>0</v>
          </cell>
          <cell r="JR31">
            <v>0</v>
          </cell>
          <cell r="JS31" t="str">
            <v>nd</v>
          </cell>
          <cell r="JT31" t="str">
            <v>nd</v>
          </cell>
          <cell r="JU31">
            <v>0</v>
          </cell>
          <cell r="JV31">
            <v>0</v>
          </cell>
          <cell r="JW31">
            <v>0</v>
          </cell>
          <cell r="JX31">
            <v>0</v>
          </cell>
          <cell r="JY31">
            <v>0</v>
          </cell>
          <cell r="JZ31">
            <v>26.795943000000001</v>
          </cell>
          <cell r="KA31">
            <v>0</v>
          </cell>
          <cell r="KB31">
            <v>0</v>
          </cell>
          <cell r="KC31">
            <v>0</v>
          </cell>
          <cell r="KD31">
            <v>0</v>
          </cell>
          <cell r="KE31">
            <v>0</v>
          </cell>
          <cell r="KF31">
            <v>53.332668800000008</v>
          </cell>
          <cell r="KG31">
            <v>0</v>
          </cell>
          <cell r="KH31">
            <v>0</v>
          </cell>
          <cell r="KI31">
            <v>0</v>
          </cell>
          <cell r="KJ31">
            <v>0</v>
          </cell>
          <cell r="KK31">
            <v>0</v>
          </cell>
          <cell r="KL31" t="str">
            <v>nd</v>
          </cell>
          <cell r="KM31">
            <v>78.7</v>
          </cell>
          <cell r="KN31">
            <v>8.1</v>
          </cell>
          <cell r="KO31">
            <v>4.2</v>
          </cell>
          <cell r="KP31">
            <v>5.0999999999999996</v>
          </cell>
          <cell r="KQ31">
            <v>3.6999999999999997</v>
          </cell>
          <cell r="KR31">
            <v>0.2</v>
          </cell>
          <cell r="KS31">
            <v>77.900000000000006</v>
          </cell>
          <cell r="KT31">
            <v>7.1999999999999993</v>
          </cell>
          <cell r="KU31">
            <v>5.2</v>
          </cell>
          <cell r="KV31">
            <v>5.5</v>
          </cell>
          <cell r="KW31">
            <v>4.1000000000000005</v>
          </cell>
          <cell r="KX31">
            <v>0.2</v>
          </cell>
          <cell r="KY31"/>
          <cell r="KZ31"/>
          <cell r="LA31"/>
          <cell r="LB31"/>
          <cell r="LC31"/>
          <cell r="LD31"/>
          <cell r="LE31"/>
          <cell r="LF31"/>
          <cell r="LG31"/>
          <cell r="LH31"/>
          <cell r="LI31"/>
          <cell r="LJ31"/>
          <cell r="LK31"/>
          <cell r="LL31"/>
          <cell r="LM31"/>
          <cell r="LN31"/>
          <cell r="LO31"/>
        </row>
        <row r="32">
          <cell r="A32" t="str">
            <v>4C4</v>
          </cell>
          <cell r="B32" t="str">
            <v>32</v>
          </cell>
          <cell r="C32" t="str">
            <v>NAF 17</v>
          </cell>
          <cell r="D32" t="str">
            <v>C4</v>
          </cell>
          <cell r="E32" t="str">
            <v>4</v>
          </cell>
          <cell r="F32">
            <v>0</v>
          </cell>
          <cell r="G32">
            <v>12.3</v>
          </cell>
          <cell r="H32">
            <v>51.6</v>
          </cell>
          <cell r="I32">
            <v>28.1</v>
          </cell>
          <cell r="J32">
            <v>8</v>
          </cell>
          <cell r="K32">
            <v>67.900000000000006</v>
          </cell>
          <cell r="L32" t="str">
            <v>nd</v>
          </cell>
          <cell r="M32">
            <v>19.2</v>
          </cell>
          <cell r="N32" t="str">
            <v>nd</v>
          </cell>
          <cell r="O32">
            <v>37.4</v>
          </cell>
          <cell r="P32">
            <v>9</v>
          </cell>
          <cell r="Q32">
            <v>35.6</v>
          </cell>
          <cell r="R32">
            <v>5.5</v>
          </cell>
          <cell r="S32">
            <v>9.4</v>
          </cell>
          <cell r="T32">
            <v>61.5</v>
          </cell>
          <cell r="U32" t="str">
            <v>nd</v>
          </cell>
          <cell r="V32">
            <v>16.2</v>
          </cell>
          <cell r="W32">
            <v>20.9</v>
          </cell>
          <cell r="X32">
            <v>73.400000000000006</v>
          </cell>
          <cell r="Y32">
            <v>5.7</v>
          </cell>
          <cell r="Z32" t="str">
            <v>nd</v>
          </cell>
          <cell r="AA32">
            <v>69.399999999999991</v>
          </cell>
          <cell r="AB32" t="str">
            <v>nd</v>
          </cell>
          <cell r="AC32">
            <v>63.6</v>
          </cell>
          <cell r="AD32" t="str">
            <v>nd</v>
          </cell>
          <cell r="AE32">
            <v>87.7</v>
          </cell>
          <cell r="AF32">
            <v>12.3</v>
          </cell>
          <cell r="AG32">
            <v>71.8</v>
          </cell>
          <cell r="AH32">
            <v>28.199999999999996</v>
          </cell>
          <cell r="AI32">
            <v>66</v>
          </cell>
          <cell r="AJ32" t="str">
            <v>nd</v>
          </cell>
          <cell r="AK32">
            <v>0</v>
          </cell>
          <cell r="AL32">
            <v>32</v>
          </cell>
          <cell r="AM32" t="str">
            <v>nd</v>
          </cell>
          <cell r="AN32">
            <v>26.6</v>
          </cell>
          <cell r="AO32">
            <v>9.5</v>
          </cell>
          <cell r="AP32" t="str">
            <v>nd</v>
          </cell>
          <cell r="AQ32">
            <v>52.800000000000004</v>
          </cell>
          <cell r="AR32">
            <v>10.100000000000001</v>
          </cell>
          <cell r="AS32">
            <v>47.599999999999994</v>
          </cell>
          <cell r="AT32">
            <v>37.9</v>
          </cell>
          <cell r="AU32">
            <v>3.5999999999999996</v>
          </cell>
          <cell r="AV32" t="str">
            <v>nd</v>
          </cell>
          <cell r="AW32">
            <v>5.3</v>
          </cell>
          <cell r="AX32" t="str">
            <v>nd</v>
          </cell>
          <cell r="AY32" t="str">
            <v>nd</v>
          </cell>
          <cell r="AZ32">
            <v>0</v>
          </cell>
          <cell r="BA32">
            <v>7.1999999999999993</v>
          </cell>
          <cell r="BB32">
            <v>20.9</v>
          </cell>
          <cell r="BC32">
            <v>44.1</v>
          </cell>
          <cell r="BD32">
            <v>26.200000000000003</v>
          </cell>
          <cell r="BE32" t="str">
            <v>nd</v>
          </cell>
          <cell r="BF32">
            <v>4</v>
          </cell>
          <cell r="BG32">
            <v>6.9</v>
          </cell>
          <cell r="BH32">
            <v>20.100000000000001</v>
          </cell>
          <cell r="BI32">
            <v>35.299999999999997</v>
          </cell>
          <cell r="BJ32">
            <v>32.9</v>
          </cell>
          <cell r="BK32">
            <v>0</v>
          </cell>
          <cell r="BL32">
            <v>0</v>
          </cell>
          <cell r="BM32">
            <v>0</v>
          </cell>
          <cell r="BN32">
            <v>13.200000000000001</v>
          </cell>
          <cell r="BO32">
            <v>78.600000000000009</v>
          </cell>
          <cell r="BP32">
            <v>8.2000000000000011</v>
          </cell>
          <cell r="BQ32">
            <v>0</v>
          </cell>
          <cell r="BR32" t="str">
            <v>nd</v>
          </cell>
          <cell r="BS32">
            <v>0</v>
          </cell>
          <cell r="BT32">
            <v>10.100000000000001</v>
          </cell>
          <cell r="BU32">
            <v>69.3</v>
          </cell>
          <cell r="BV32">
            <v>17.2</v>
          </cell>
          <cell r="BW32">
            <v>0</v>
          </cell>
          <cell r="BX32">
            <v>0</v>
          </cell>
          <cell r="BY32">
            <v>0</v>
          </cell>
          <cell r="BZ32">
            <v>0</v>
          </cell>
          <cell r="CA32">
            <v>0</v>
          </cell>
          <cell r="CB32">
            <v>100</v>
          </cell>
          <cell r="CC32">
            <v>8.2000000000000011</v>
          </cell>
          <cell r="CD32">
            <v>19.2</v>
          </cell>
          <cell r="CE32" t="str">
            <v>nd</v>
          </cell>
          <cell r="CF32" t="str">
            <v>nd</v>
          </cell>
          <cell r="CG32">
            <v>0</v>
          </cell>
          <cell r="CH32">
            <v>23.3</v>
          </cell>
          <cell r="CI32">
            <v>5.8999999999999995</v>
          </cell>
          <cell r="CJ32">
            <v>63.6</v>
          </cell>
          <cell r="CK32">
            <v>55.400000000000006</v>
          </cell>
          <cell r="CL32">
            <v>8.7999999999999989</v>
          </cell>
          <cell r="CM32" t="str">
            <v>nd</v>
          </cell>
          <cell r="CN32" t="str">
            <v>nd</v>
          </cell>
          <cell r="CO32">
            <v>46.6</v>
          </cell>
          <cell r="CP32">
            <v>11.200000000000001</v>
          </cell>
          <cell r="CQ32">
            <v>47.5</v>
          </cell>
          <cell r="CR32">
            <v>18.8</v>
          </cell>
          <cell r="CS32">
            <v>22.400000000000002</v>
          </cell>
          <cell r="CT32">
            <v>7.0000000000000009</v>
          </cell>
          <cell r="CU32">
            <v>93</v>
          </cell>
          <cell r="CV32" t="str">
            <v>nd</v>
          </cell>
          <cell r="CW32">
            <v>97.6</v>
          </cell>
          <cell r="CX32">
            <v>9.5</v>
          </cell>
          <cell r="CY32">
            <v>43.5</v>
          </cell>
          <cell r="CZ32">
            <v>47</v>
          </cell>
          <cell r="DA32" t="str">
            <v>nd</v>
          </cell>
          <cell r="DB32">
            <v>0</v>
          </cell>
          <cell r="DC32">
            <v>0</v>
          </cell>
          <cell r="DD32">
            <v>0</v>
          </cell>
          <cell r="DE32">
            <v>100</v>
          </cell>
          <cell r="DF32">
            <v>11.3</v>
          </cell>
          <cell r="DG32">
            <v>5.5</v>
          </cell>
          <cell r="DH32">
            <v>10.6</v>
          </cell>
          <cell r="DI32">
            <v>15.1</v>
          </cell>
          <cell r="DJ32">
            <v>25.6</v>
          </cell>
          <cell r="DK32">
            <v>31.900000000000002</v>
          </cell>
          <cell r="DL32">
            <v>8.2000000000000011</v>
          </cell>
          <cell r="DM32">
            <v>57.099999999999994</v>
          </cell>
          <cell r="DN32">
            <v>7.6</v>
          </cell>
          <cell r="DO32">
            <v>16.8</v>
          </cell>
          <cell r="DP32">
            <v>4.7</v>
          </cell>
          <cell r="DQ32" t="str">
            <v>nd</v>
          </cell>
          <cell r="DR32">
            <v>23.3</v>
          </cell>
          <cell r="DS32" t="str">
            <v>nd</v>
          </cell>
          <cell r="DT32">
            <v>22.3</v>
          </cell>
          <cell r="DU32">
            <v>0</v>
          </cell>
          <cell r="DV32">
            <v>0</v>
          </cell>
          <cell r="DW32">
            <v>0</v>
          </cell>
          <cell r="DX32">
            <v>0</v>
          </cell>
          <cell r="DY32">
            <v>0</v>
          </cell>
          <cell r="DZ32" t="str">
            <v>nd</v>
          </cell>
          <cell r="EA32" t="str">
            <v>nd</v>
          </cell>
          <cell r="EB32" t="str">
            <v>nd</v>
          </cell>
          <cell r="EC32" t="str">
            <v>nd</v>
          </cell>
          <cell r="ED32">
            <v>0</v>
          </cell>
          <cell r="EE32">
            <v>0</v>
          </cell>
          <cell r="EF32">
            <v>22.850498899999998</v>
          </cell>
          <cell r="EG32">
            <v>27.5814746</v>
          </cell>
          <cell r="EH32" t="str">
            <v>nd</v>
          </cell>
          <cell r="EI32">
            <v>0</v>
          </cell>
          <cell r="EJ32">
            <v>0</v>
          </cell>
          <cell r="EK32">
            <v>0</v>
          </cell>
          <cell r="EL32">
            <v>15.1310409</v>
          </cell>
          <cell r="EM32" t="str">
            <v>nd</v>
          </cell>
          <cell r="EN32">
            <v>0</v>
          </cell>
          <cell r="EO32">
            <v>0</v>
          </cell>
          <cell r="EP32">
            <v>5.2655500000000002</v>
          </cell>
          <cell r="EQ32">
            <v>0</v>
          </cell>
          <cell r="ER32">
            <v>5.4795299999999996</v>
          </cell>
          <cell r="ES32">
            <v>0</v>
          </cell>
          <cell r="ET32">
            <v>0</v>
          </cell>
          <cell r="EU32">
            <v>0</v>
          </cell>
          <cell r="EV32">
            <v>0</v>
          </cell>
          <cell r="EW32" t="str">
            <v>nd</v>
          </cell>
          <cell r="EX32">
            <v>0</v>
          </cell>
          <cell r="EY32">
            <v>0</v>
          </cell>
          <cell r="EZ32">
            <v>0</v>
          </cell>
          <cell r="FA32">
            <v>0</v>
          </cell>
          <cell r="FB32">
            <v>0</v>
          </cell>
          <cell r="FC32">
            <v>0</v>
          </cell>
          <cell r="FD32">
            <v>0</v>
          </cell>
          <cell r="FE32">
            <v>0</v>
          </cell>
          <cell r="FF32">
            <v>4.1322700000000001</v>
          </cell>
          <cell r="FG32">
            <v>5.7364800000000002</v>
          </cell>
          <cell r="FH32" t="str">
            <v>nd</v>
          </cell>
          <cell r="FI32">
            <v>0</v>
          </cell>
          <cell r="FJ32">
            <v>0</v>
          </cell>
          <cell r="FK32">
            <v>6.6407620000000005</v>
          </cell>
          <cell r="FL32">
            <v>12.4673494</v>
          </cell>
          <cell r="FM32">
            <v>23.6583018</v>
          </cell>
          <cell r="FN32">
            <v>8.1927915000000002</v>
          </cell>
          <cell r="FO32" t="str">
            <v>nd</v>
          </cell>
          <cell r="FP32">
            <v>0</v>
          </cell>
          <cell r="FQ32" t="str">
            <v>nd</v>
          </cell>
          <cell r="FR32" t="str">
            <v>nd</v>
          </cell>
          <cell r="FS32">
            <v>11.7065062</v>
          </cell>
          <cell r="FT32">
            <v>10.333027700000001</v>
          </cell>
          <cell r="FU32">
            <v>0</v>
          </cell>
          <cell r="FV32">
            <v>0</v>
          </cell>
          <cell r="FW32">
            <v>0</v>
          </cell>
          <cell r="FX32">
            <v>0</v>
          </cell>
          <cell r="FY32" t="str">
            <v>nd</v>
          </cell>
          <cell r="FZ32">
            <v>5.2733500000000006</v>
          </cell>
          <cell r="GA32">
            <v>0</v>
          </cell>
          <cell r="GB32">
            <v>0</v>
          </cell>
          <cell r="GC32">
            <v>0</v>
          </cell>
          <cell r="GD32">
            <v>0</v>
          </cell>
          <cell r="GE32">
            <v>0</v>
          </cell>
          <cell r="GF32" t="str">
            <v>nd</v>
          </cell>
          <cell r="GG32">
            <v>3.9876799999999997</v>
          </cell>
          <cell r="GH32">
            <v>0</v>
          </cell>
          <cell r="GI32" t="str">
            <v>nd</v>
          </cell>
          <cell r="GJ32">
            <v>4.1322700000000001</v>
          </cell>
          <cell r="GK32">
            <v>0</v>
          </cell>
          <cell r="GL32">
            <v>0</v>
          </cell>
          <cell r="GM32">
            <v>0</v>
          </cell>
          <cell r="GN32">
            <v>6.8893097000000001</v>
          </cell>
          <cell r="GO32">
            <v>16.799616700000001</v>
          </cell>
          <cell r="GP32">
            <v>14.4906381</v>
          </cell>
          <cell r="GQ32">
            <v>13.442073800000001</v>
          </cell>
          <cell r="GR32">
            <v>0</v>
          </cell>
          <cell r="GS32">
            <v>0</v>
          </cell>
          <cell r="GT32">
            <v>0</v>
          </cell>
          <cell r="GU32">
            <v>0</v>
          </cell>
          <cell r="GV32">
            <v>13.682419700000001</v>
          </cell>
          <cell r="GW32">
            <v>14.404784000000001</v>
          </cell>
          <cell r="GX32">
            <v>0</v>
          </cell>
          <cell r="GY32">
            <v>0</v>
          </cell>
          <cell r="GZ32">
            <v>0</v>
          </cell>
          <cell r="HA32">
            <v>0</v>
          </cell>
          <cell r="HB32" t="str">
            <v>nd</v>
          </cell>
          <cell r="HC32">
            <v>5.0250700000000004</v>
          </cell>
          <cell r="HD32">
            <v>0</v>
          </cell>
          <cell r="HE32">
            <v>0</v>
          </cell>
          <cell r="HF32">
            <v>0</v>
          </cell>
          <cell r="HG32">
            <v>0</v>
          </cell>
          <cell r="HH32">
            <v>0</v>
          </cell>
          <cell r="HI32">
            <v>0</v>
          </cell>
          <cell r="HJ32">
            <v>0</v>
          </cell>
          <cell r="HK32">
            <v>0</v>
          </cell>
          <cell r="HL32">
            <v>0</v>
          </cell>
          <cell r="HM32">
            <v>12.2919629</v>
          </cell>
          <cell r="HN32">
            <v>0</v>
          </cell>
          <cell r="HO32">
            <v>0</v>
          </cell>
          <cell r="HP32">
            <v>0</v>
          </cell>
          <cell r="HQ32">
            <v>0</v>
          </cell>
          <cell r="HR32">
            <v>8.9798001000000003</v>
          </cell>
          <cell r="HS32">
            <v>39.324566300000001</v>
          </cell>
          <cell r="HT32" t="str">
            <v>nd</v>
          </cell>
          <cell r="HU32">
            <v>0</v>
          </cell>
          <cell r="HV32">
            <v>0</v>
          </cell>
          <cell r="HW32">
            <v>0</v>
          </cell>
          <cell r="HX32" t="str">
            <v>nd</v>
          </cell>
          <cell r="HY32">
            <v>22.221784599999999</v>
          </cell>
          <cell r="HZ32">
            <v>4.8926999999999996</v>
          </cell>
          <cell r="IA32">
            <v>0</v>
          </cell>
          <cell r="IB32">
            <v>0</v>
          </cell>
          <cell r="IC32">
            <v>0</v>
          </cell>
          <cell r="ID32" t="str">
            <v>nd</v>
          </cell>
          <cell r="IE32">
            <v>4.7835099999999997</v>
          </cell>
          <cell r="IF32">
            <v>0</v>
          </cell>
          <cell r="IG32">
            <v>0</v>
          </cell>
          <cell r="IH32">
            <v>0</v>
          </cell>
          <cell r="II32">
            <v>0</v>
          </cell>
          <cell r="IJ32">
            <v>0</v>
          </cell>
          <cell r="IK32">
            <v>0</v>
          </cell>
          <cell r="IL32">
            <v>0</v>
          </cell>
          <cell r="IM32">
            <v>0</v>
          </cell>
          <cell r="IN32">
            <v>0</v>
          </cell>
          <cell r="IO32" t="str">
            <v>nd</v>
          </cell>
          <cell r="IP32">
            <v>7.6920987999999992</v>
          </cell>
          <cell r="IQ32" t="str">
            <v>nd</v>
          </cell>
          <cell r="IR32">
            <v>0</v>
          </cell>
          <cell r="IS32">
            <v>0</v>
          </cell>
          <cell r="IT32">
            <v>0</v>
          </cell>
          <cell r="IU32">
            <v>8.630393999999999</v>
          </cell>
          <cell r="IV32">
            <v>38.9873519</v>
          </cell>
          <cell r="IW32">
            <v>4.0038900000000002</v>
          </cell>
          <cell r="IX32">
            <v>0</v>
          </cell>
          <cell r="IY32" t="str">
            <v>nd</v>
          </cell>
          <cell r="IZ32">
            <v>0</v>
          </cell>
          <cell r="JA32">
            <v>0</v>
          </cell>
          <cell r="JB32">
            <v>15.2983902</v>
          </cell>
          <cell r="JC32">
            <v>9.4314885000000004</v>
          </cell>
          <cell r="JD32">
            <v>0</v>
          </cell>
          <cell r="JE32">
            <v>0</v>
          </cell>
          <cell r="JF32">
            <v>0</v>
          </cell>
          <cell r="JG32">
            <v>0</v>
          </cell>
          <cell r="JH32">
            <v>7.3031666999999993</v>
          </cell>
          <cell r="JI32" t="str">
            <v>nd</v>
          </cell>
          <cell r="JJ32">
            <v>0</v>
          </cell>
          <cell r="JK32">
            <v>0</v>
          </cell>
          <cell r="JL32">
            <v>0</v>
          </cell>
          <cell r="JM32">
            <v>0</v>
          </cell>
          <cell r="JN32">
            <v>0</v>
          </cell>
          <cell r="JO32">
            <v>0</v>
          </cell>
          <cell r="JP32">
            <v>0</v>
          </cell>
          <cell r="JQ32">
            <v>0</v>
          </cell>
          <cell r="JR32">
            <v>0</v>
          </cell>
          <cell r="JS32">
            <v>0</v>
          </cell>
          <cell r="JT32">
            <v>12.2919629</v>
          </cell>
          <cell r="JU32">
            <v>0</v>
          </cell>
          <cell r="JV32">
            <v>0</v>
          </cell>
          <cell r="JW32">
            <v>0</v>
          </cell>
          <cell r="JX32">
            <v>0</v>
          </cell>
          <cell r="JY32">
            <v>0</v>
          </cell>
          <cell r="JZ32">
            <v>51.621638400000002</v>
          </cell>
          <cell r="KA32">
            <v>0</v>
          </cell>
          <cell r="KB32">
            <v>0</v>
          </cell>
          <cell r="KC32">
            <v>0</v>
          </cell>
          <cell r="KD32">
            <v>0</v>
          </cell>
          <cell r="KE32">
            <v>0</v>
          </cell>
          <cell r="KF32">
            <v>28.087203700000003</v>
          </cell>
          <cell r="KG32">
            <v>0</v>
          </cell>
          <cell r="KH32">
            <v>0</v>
          </cell>
          <cell r="KI32">
            <v>0</v>
          </cell>
          <cell r="KJ32">
            <v>0</v>
          </cell>
          <cell r="KK32">
            <v>0</v>
          </cell>
          <cell r="KL32">
            <v>7.9991949000000009</v>
          </cell>
          <cell r="KM32">
            <v>64.400000000000006</v>
          </cell>
          <cell r="KN32">
            <v>9.9</v>
          </cell>
          <cell r="KO32">
            <v>10.199999999999999</v>
          </cell>
          <cell r="KP32">
            <v>7.9</v>
          </cell>
          <cell r="KQ32">
            <v>7.6</v>
          </cell>
          <cell r="KR32">
            <v>0</v>
          </cell>
          <cell r="KS32">
            <v>62.2</v>
          </cell>
          <cell r="KT32">
            <v>10.5</v>
          </cell>
          <cell r="KU32">
            <v>10.9</v>
          </cell>
          <cell r="KV32">
            <v>8.6</v>
          </cell>
          <cell r="KW32">
            <v>7.8</v>
          </cell>
          <cell r="KX32">
            <v>0</v>
          </cell>
          <cell r="KY32"/>
          <cell r="KZ32"/>
          <cell r="LA32"/>
          <cell r="LB32"/>
          <cell r="LC32"/>
          <cell r="LD32"/>
          <cell r="LE32"/>
          <cell r="LF32"/>
          <cell r="LG32"/>
          <cell r="LH32"/>
          <cell r="LI32"/>
          <cell r="LJ32"/>
          <cell r="LK32"/>
          <cell r="LL32"/>
          <cell r="LM32"/>
          <cell r="LN32"/>
          <cell r="LO32"/>
        </row>
        <row r="33">
          <cell r="A33" t="str">
            <v>5C4</v>
          </cell>
          <cell r="B33" t="str">
            <v>33</v>
          </cell>
          <cell r="C33" t="str">
            <v>NAF 17</v>
          </cell>
          <cell r="D33" t="str">
            <v>C4</v>
          </cell>
          <cell r="E33" t="str">
            <v>5</v>
          </cell>
          <cell r="F33">
            <v>0</v>
          </cell>
          <cell r="G33">
            <v>9.7000000000000011</v>
          </cell>
          <cell r="H33">
            <v>64.5</v>
          </cell>
          <cell r="I33">
            <v>18.399999999999999</v>
          </cell>
          <cell r="J33">
            <v>7.5</v>
          </cell>
          <cell r="K33">
            <v>79.800000000000011</v>
          </cell>
          <cell r="L33">
            <v>0</v>
          </cell>
          <cell r="M33">
            <v>18.8</v>
          </cell>
          <cell r="N33" t="str">
            <v>nd</v>
          </cell>
          <cell r="O33">
            <v>49.9</v>
          </cell>
          <cell r="P33">
            <v>11.5</v>
          </cell>
          <cell r="Q33">
            <v>25</v>
          </cell>
          <cell r="R33">
            <v>2.9000000000000004</v>
          </cell>
          <cell r="S33">
            <v>18.600000000000001</v>
          </cell>
          <cell r="T33">
            <v>57.999999999999993</v>
          </cell>
          <cell r="U33">
            <v>0</v>
          </cell>
          <cell r="V33">
            <v>30.5</v>
          </cell>
          <cell r="W33">
            <v>17</v>
          </cell>
          <cell r="X33">
            <v>76.900000000000006</v>
          </cell>
          <cell r="Y33">
            <v>6.1</v>
          </cell>
          <cell r="Z33" t="str">
            <v>nd</v>
          </cell>
          <cell r="AA33">
            <v>24.7</v>
          </cell>
          <cell r="AB33" t="str">
            <v>nd</v>
          </cell>
          <cell r="AC33">
            <v>43.5</v>
          </cell>
          <cell r="AD33" t="str">
            <v>nd</v>
          </cell>
          <cell r="AE33">
            <v>92.4</v>
          </cell>
          <cell r="AF33">
            <v>7.6</v>
          </cell>
          <cell r="AG33">
            <v>81.8</v>
          </cell>
          <cell r="AH33">
            <v>18.2</v>
          </cell>
          <cell r="AI33">
            <v>66.600000000000009</v>
          </cell>
          <cell r="AJ33" t="str">
            <v>nd</v>
          </cell>
          <cell r="AK33">
            <v>0</v>
          </cell>
          <cell r="AL33">
            <v>19</v>
          </cell>
          <cell r="AM33">
            <v>10.6</v>
          </cell>
          <cell r="AN33">
            <v>25</v>
          </cell>
          <cell r="AO33" t="str">
            <v>nd</v>
          </cell>
          <cell r="AP33" t="str">
            <v>nd</v>
          </cell>
          <cell r="AQ33">
            <v>60.8</v>
          </cell>
          <cell r="AR33" t="str">
            <v>nd</v>
          </cell>
          <cell r="AS33">
            <v>58.099999999999994</v>
          </cell>
          <cell r="AT33">
            <v>25.4</v>
          </cell>
          <cell r="AU33">
            <v>10.199999999999999</v>
          </cell>
          <cell r="AV33" t="str">
            <v>nd</v>
          </cell>
          <cell r="AW33">
            <v>0</v>
          </cell>
          <cell r="AX33" t="str">
            <v>nd</v>
          </cell>
          <cell r="AY33">
            <v>0</v>
          </cell>
          <cell r="AZ33" t="str">
            <v>nd</v>
          </cell>
          <cell r="BA33">
            <v>7.9</v>
          </cell>
          <cell r="BB33">
            <v>21.2</v>
          </cell>
          <cell r="BC33">
            <v>42.199999999999996</v>
          </cell>
          <cell r="BD33">
            <v>25.5</v>
          </cell>
          <cell r="BE33">
            <v>0</v>
          </cell>
          <cell r="BF33" t="str">
            <v>nd</v>
          </cell>
          <cell r="BG33" t="str">
            <v>nd</v>
          </cell>
          <cell r="BH33">
            <v>21.5</v>
          </cell>
          <cell r="BI33">
            <v>56.8</v>
          </cell>
          <cell r="BJ33">
            <v>18.099999999999998</v>
          </cell>
          <cell r="BK33">
            <v>0</v>
          </cell>
          <cell r="BL33">
            <v>0</v>
          </cell>
          <cell r="BM33" t="str">
            <v>nd</v>
          </cell>
          <cell r="BN33">
            <v>6.6000000000000005</v>
          </cell>
          <cell r="BO33">
            <v>92.100000000000009</v>
          </cell>
          <cell r="BP33">
            <v>0</v>
          </cell>
          <cell r="BQ33">
            <v>0</v>
          </cell>
          <cell r="BR33">
            <v>0</v>
          </cell>
          <cell r="BS33">
            <v>0</v>
          </cell>
          <cell r="BT33" t="str">
            <v>nd</v>
          </cell>
          <cell r="BU33">
            <v>84.3</v>
          </cell>
          <cell r="BV33">
            <v>12.3</v>
          </cell>
          <cell r="BW33">
            <v>0</v>
          </cell>
          <cell r="BX33">
            <v>0</v>
          </cell>
          <cell r="BY33">
            <v>0</v>
          </cell>
          <cell r="BZ33">
            <v>0</v>
          </cell>
          <cell r="CA33">
            <v>0</v>
          </cell>
          <cell r="CB33">
            <v>100</v>
          </cell>
          <cell r="CC33">
            <v>17.599999999999998</v>
          </cell>
          <cell r="CD33">
            <v>18.8</v>
          </cell>
          <cell r="CE33" t="str">
            <v>nd</v>
          </cell>
          <cell r="CF33">
            <v>5.2</v>
          </cell>
          <cell r="CG33">
            <v>0</v>
          </cell>
          <cell r="CH33">
            <v>31.1</v>
          </cell>
          <cell r="CI33">
            <v>10.4</v>
          </cell>
          <cell r="CJ33">
            <v>54.2</v>
          </cell>
          <cell r="CK33">
            <v>55.900000000000006</v>
          </cell>
          <cell r="CL33">
            <v>11.899999999999999</v>
          </cell>
          <cell r="CM33" t="str">
            <v>nd</v>
          </cell>
          <cell r="CN33">
            <v>0</v>
          </cell>
          <cell r="CO33">
            <v>31.3</v>
          </cell>
          <cell r="CP33">
            <v>8.6999999999999993</v>
          </cell>
          <cell r="CQ33">
            <v>26.400000000000002</v>
          </cell>
          <cell r="CR33">
            <v>22.6</v>
          </cell>
          <cell r="CS33">
            <v>42.3</v>
          </cell>
          <cell r="CT33">
            <v>16.900000000000002</v>
          </cell>
          <cell r="CU33">
            <v>83.1</v>
          </cell>
          <cell r="CV33">
            <v>0</v>
          </cell>
          <cell r="CW33">
            <v>100</v>
          </cell>
          <cell r="CX33">
            <v>15.7</v>
          </cell>
          <cell r="CY33">
            <v>40.400000000000006</v>
          </cell>
          <cell r="CZ33">
            <v>43.9</v>
          </cell>
          <cell r="DA33">
            <v>24.8</v>
          </cell>
          <cell r="DB33">
            <v>0</v>
          </cell>
          <cell r="DC33">
            <v>0</v>
          </cell>
          <cell r="DD33">
            <v>0</v>
          </cell>
          <cell r="DE33">
            <v>76</v>
          </cell>
          <cell r="DF33">
            <v>7.8</v>
          </cell>
          <cell r="DG33">
            <v>4.5999999999999996</v>
          </cell>
          <cell r="DH33">
            <v>14.499999999999998</v>
          </cell>
          <cell r="DI33">
            <v>12.8</v>
          </cell>
          <cell r="DJ33">
            <v>40.1</v>
          </cell>
          <cell r="DK33">
            <v>20.200000000000003</v>
          </cell>
          <cell r="DL33" t="str">
            <v>nd</v>
          </cell>
          <cell r="DM33">
            <v>67.300000000000011</v>
          </cell>
          <cell r="DN33">
            <v>6.1</v>
          </cell>
          <cell r="DO33">
            <v>19.400000000000002</v>
          </cell>
          <cell r="DP33">
            <v>9.5</v>
          </cell>
          <cell r="DQ33" t="str">
            <v>nd</v>
          </cell>
          <cell r="DR33">
            <v>23.599999999999998</v>
          </cell>
          <cell r="DS33">
            <v>33.800000000000004</v>
          </cell>
          <cell r="DT33">
            <v>24.6</v>
          </cell>
          <cell r="DU33">
            <v>0</v>
          </cell>
          <cell r="DV33">
            <v>0</v>
          </cell>
          <cell r="DW33">
            <v>0</v>
          </cell>
          <cell r="DX33">
            <v>0</v>
          </cell>
          <cell r="DY33">
            <v>0</v>
          </cell>
          <cell r="DZ33" t="str">
            <v>nd</v>
          </cell>
          <cell r="EA33" t="str">
            <v>nd</v>
          </cell>
          <cell r="EB33" t="str">
            <v>nd</v>
          </cell>
          <cell r="EC33">
            <v>0</v>
          </cell>
          <cell r="ED33">
            <v>0</v>
          </cell>
          <cell r="EE33">
            <v>0</v>
          </cell>
          <cell r="EF33">
            <v>35.048286699999998</v>
          </cell>
          <cell r="EG33">
            <v>21.314042699999998</v>
          </cell>
          <cell r="EH33" t="str">
            <v>nd</v>
          </cell>
          <cell r="EI33" t="str">
            <v>nd</v>
          </cell>
          <cell r="EJ33">
            <v>0</v>
          </cell>
          <cell r="EK33">
            <v>0</v>
          </cell>
          <cell r="EL33">
            <v>13.993634799999999</v>
          </cell>
          <cell r="EM33" t="str">
            <v>nd</v>
          </cell>
          <cell r="EN33">
            <v>0</v>
          </cell>
          <cell r="EO33">
            <v>0</v>
          </cell>
          <cell r="EP33">
            <v>0</v>
          </cell>
          <cell r="EQ33" t="str">
            <v>nd</v>
          </cell>
          <cell r="ER33">
            <v>6.01152</v>
          </cell>
          <cell r="ES33">
            <v>0</v>
          </cell>
          <cell r="ET33" t="str">
            <v>nd</v>
          </cell>
          <cell r="EU33">
            <v>0</v>
          </cell>
          <cell r="EV33">
            <v>0</v>
          </cell>
          <cell r="EW33">
            <v>0</v>
          </cell>
          <cell r="EX33">
            <v>0</v>
          </cell>
          <cell r="EY33">
            <v>0</v>
          </cell>
          <cell r="EZ33">
            <v>0</v>
          </cell>
          <cell r="FA33">
            <v>0</v>
          </cell>
          <cell r="FB33">
            <v>0</v>
          </cell>
          <cell r="FC33">
            <v>0</v>
          </cell>
          <cell r="FD33">
            <v>0</v>
          </cell>
          <cell r="FE33">
            <v>0</v>
          </cell>
          <cell r="FF33" t="str">
            <v>nd</v>
          </cell>
          <cell r="FG33" t="str">
            <v>nd</v>
          </cell>
          <cell r="FH33" t="str">
            <v>nd</v>
          </cell>
          <cell r="FI33">
            <v>0</v>
          </cell>
          <cell r="FJ33" t="str">
            <v>nd</v>
          </cell>
          <cell r="FK33" t="str">
            <v>nd</v>
          </cell>
          <cell r="FL33">
            <v>10.135171099999999</v>
          </cell>
          <cell r="FM33">
            <v>33.996458000000004</v>
          </cell>
          <cell r="FN33">
            <v>17.241622700000001</v>
          </cell>
          <cell r="FO33">
            <v>0</v>
          </cell>
          <cell r="FP33">
            <v>0</v>
          </cell>
          <cell r="FQ33">
            <v>4.0001600000000002</v>
          </cell>
          <cell r="FR33" t="str">
            <v>nd</v>
          </cell>
          <cell r="FS33" t="str">
            <v>nd</v>
          </cell>
          <cell r="FT33" t="str">
            <v>nd</v>
          </cell>
          <cell r="FU33">
            <v>0</v>
          </cell>
          <cell r="FV33">
            <v>0</v>
          </cell>
          <cell r="FW33" t="str">
            <v>nd</v>
          </cell>
          <cell r="FX33" t="str">
            <v>nd</v>
          </cell>
          <cell r="FY33" t="str">
            <v>nd</v>
          </cell>
          <cell r="FZ33" t="str">
            <v>nd</v>
          </cell>
          <cell r="GA33">
            <v>0</v>
          </cell>
          <cell r="GB33">
            <v>0</v>
          </cell>
          <cell r="GC33">
            <v>0</v>
          </cell>
          <cell r="GD33">
            <v>0</v>
          </cell>
          <cell r="GE33">
            <v>0</v>
          </cell>
          <cell r="GF33">
            <v>0</v>
          </cell>
          <cell r="GG33">
            <v>0</v>
          </cell>
          <cell r="GH33">
            <v>0</v>
          </cell>
          <cell r="GI33" t="str">
            <v>nd</v>
          </cell>
          <cell r="GJ33" t="str">
            <v>nd</v>
          </cell>
          <cell r="GK33">
            <v>0</v>
          </cell>
          <cell r="GL33">
            <v>0</v>
          </cell>
          <cell r="GM33" t="str">
            <v>nd</v>
          </cell>
          <cell r="GN33" t="str">
            <v>nd</v>
          </cell>
          <cell r="GO33">
            <v>18.306283799999999</v>
          </cell>
          <cell r="GP33">
            <v>30.632626800000001</v>
          </cell>
          <cell r="GQ33">
            <v>13.455377499999999</v>
          </cell>
          <cell r="GR33">
            <v>0</v>
          </cell>
          <cell r="GS33">
            <v>0</v>
          </cell>
          <cell r="GT33">
            <v>0</v>
          </cell>
          <cell r="GU33">
            <v>0</v>
          </cell>
          <cell r="GV33">
            <v>11.129990100000001</v>
          </cell>
          <cell r="GW33">
            <v>4.8412899999999999</v>
          </cell>
          <cell r="GX33">
            <v>0</v>
          </cell>
          <cell r="GY33">
            <v>0</v>
          </cell>
          <cell r="GZ33">
            <v>0</v>
          </cell>
          <cell r="HA33">
            <v>0</v>
          </cell>
          <cell r="HB33">
            <v>7.4762184999999999</v>
          </cell>
          <cell r="HC33">
            <v>0</v>
          </cell>
          <cell r="HD33">
            <v>0</v>
          </cell>
          <cell r="HE33">
            <v>0</v>
          </cell>
          <cell r="HF33">
            <v>0</v>
          </cell>
          <cell r="HG33">
            <v>0</v>
          </cell>
          <cell r="HH33">
            <v>0</v>
          </cell>
          <cell r="HI33">
            <v>0</v>
          </cell>
          <cell r="HJ33">
            <v>0</v>
          </cell>
          <cell r="HK33">
            <v>0</v>
          </cell>
          <cell r="HL33">
            <v>0</v>
          </cell>
          <cell r="HM33">
            <v>9.6543694000000002</v>
          </cell>
          <cell r="HN33">
            <v>0</v>
          </cell>
          <cell r="HO33">
            <v>0</v>
          </cell>
          <cell r="HP33">
            <v>0</v>
          </cell>
          <cell r="HQ33">
            <v>0</v>
          </cell>
          <cell r="HR33">
            <v>4.5711899999999996</v>
          </cell>
          <cell r="HS33">
            <v>59.920790599999997</v>
          </cell>
          <cell r="HT33">
            <v>0</v>
          </cell>
          <cell r="HU33">
            <v>0</v>
          </cell>
          <cell r="HV33">
            <v>0</v>
          </cell>
          <cell r="HW33" t="str">
            <v>nd</v>
          </cell>
          <cell r="HX33" t="str">
            <v>nd</v>
          </cell>
          <cell r="HY33">
            <v>15.015225600000001</v>
          </cell>
          <cell r="HZ33">
            <v>0</v>
          </cell>
          <cell r="IA33">
            <v>0</v>
          </cell>
          <cell r="IB33">
            <v>0</v>
          </cell>
          <cell r="IC33">
            <v>0</v>
          </cell>
          <cell r="ID33">
            <v>0</v>
          </cell>
          <cell r="IE33">
            <v>7.4762184999999999</v>
          </cell>
          <cell r="IF33">
            <v>0</v>
          </cell>
          <cell r="IG33">
            <v>0</v>
          </cell>
          <cell r="IH33">
            <v>0</v>
          </cell>
          <cell r="II33">
            <v>0</v>
          </cell>
          <cell r="IJ33">
            <v>0</v>
          </cell>
          <cell r="IK33">
            <v>0</v>
          </cell>
          <cell r="IL33">
            <v>0</v>
          </cell>
          <cell r="IM33">
            <v>0</v>
          </cell>
          <cell r="IN33">
            <v>0</v>
          </cell>
          <cell r="IO33">
            <v>0</v>
          </cell>
          <cell r="IP33">
            <v>9.6543694000000002</v>
          </cell>
          <cell r="IQ33">
            <v>0</v>
          </cell>
          <cell r="IR33">
            <v>0</v>
          </cell>
          <cell r="IS33">
            <v>0</v>
          </cell>
          <cell r="IT33">
            <v>0</v>
          </cell>
          <cell r="IU33" t="str">
            <v>nd</v>
          </cell>
          <cell r="IV33">
            <v>56.045832500000003</v>
          </cell>
          <cell r="IW33">
            <v>5.1056499999999998</v>
          </cell>
          <cell r="IX33">
            <v>0</v>
          </cell>
          <cell r="IY33">
            <v>0</v>
          </cell>
          <cell r="IZ33">
            <v>0</v>
          </cell>
          <cell r="JA33">
            <v>0</v>
          </cell>
          <cell r="JB33">
            <v>11.0130073</v>
          </cell>
          <cell r="JC33">
            <v>7.3644219</v>
          </cell>
          <cell r="JD33">
            <v>0</v>
          </cell>
          <cell r="JE33">
            <v>0</v>
          </cell>
          <cell r="JF33">
            <v>0</v>
          </cell>
          <cell r="JG33">
            <v>0</v>
          </cell>
          <cell r="JH33">
            <v>7.4762184999999999</v>
          </cell>
          <cell r="JI33">
            <v>0</v>
          </cell>
          <cell r="JJ33">
            <v>0</v>
          </cell>
          <cell r="JK33">
            <v>0</v>
          </cell>
          <cell r="JL33">
            <v>0</v>
          </cell>
          <cell r="JM33">
            <v>0</v>
          </cell>
          <cell r="JN33">
            <v>0</v>
          </cell>
          <cell r="JO33">
            <v>0</v>
          </cell>
          <cell r="JP33">
            <v>0</v>
          </cell>
          <cell r="JQ33">
            <v>0</v>
          </cell>
          <cell r="JR33">
            <v>0</v>
          </cell>
          <cell r="JS33">
            <v>0</v>
          </cell>
          <cell r="JT33">
            <v>10.5651352</v>
          </cell>
          <cell r="JU33">
            <v>0</v>
          </cell>
          <cell r="JV33">
            <v>0</v>
          </cell>
          <cell r="JW33">
            <v>0</v>
          </cell>
          <cell r="JX33">
            <v>0</v>
          </cell>
          <cell r="JY33">
            <v>0</v>
          </cell>
          <cell r="JZ33">
            <v>64.535620100000003</v>
          </cell>
          <cell r="KA33">
            <v>0</v>
          </cell>
          <cell r="KB33">
            <v>0</v>
          </cell>
          <cell r="KC33">
            <v>0</v>
          </cell>
          <cell r="KD33">
            <v>0</v>
          </cell>
          <cell r="KE33">
            <v>0</v>
          </cell>
          <cell r="KF33">
            <v>17.4230263</v>
          </cell>
          <cell r="KG33">
            <v>0</v>
          </cell>
          <cell r="KH33">
            <v>0</v>
          </cell>
          <cell r="KI33">
            <v>0</v>
          </cell>
          <cell r="KJ33">
            <v>0</v>
          </cell>
          <cell r="KK33">
            <v>0</v>
          </cell>
          <cell r="KL33">
            <v>7.4762184999999999</v>
          </cell>
          <cell r="KM33">
            <v>68.7</v>
          </cell>
          <cell r="KN33">
            <v>10.5</v>
          </cell>
          <cell r="KO33">
            <v>8.2000000000000011</v>
          </cell>
          <cell r="KP33">
            <v>7.7</v>
          </cell>
          <cell r="KQ33">
            <v>4.8</v>
          </cell>
          <cell r="KR33">
            <v>0</v>
          </cell>
          <cell r="KS33">
            <v>66.3</v>
          </cell>
          <cell r="KT33">
            <v>11.700000000000001</v>
          </cell>
          <cell r="KU33">
            <v>9.3000000000000007</v>
          </cell>
          <cell r="KV33">
            <v>7.9</v>
          </cell>
          <cell r="KW33">
            <v>4.9000000000000004</v>
          </cell>
          <cell r="KX33">
            <v>0</v>
          </cell>
          <cell r="KY33"/>
          <cell r="KZ33"/>
          <cell r="LA33"/>
          <cell r="LB33"/>
          <cell r="LC33"/>
          <cell r="LD33"/>
          <cell r="LE33"/>
          <cell r="LF33"/>
          <cell r="LG33"/>
          <cell r="LH33"/>
          <cell r="LI33"/>
          <cell r="LJ33"/>
          <cell r="LK33"/>
          <cell r="LL33"/>
          <cell r="LM33"/>
          <cell r="LN33"/>
          <cell r="LO33"/>
        </row>
        <row r="34">
          <cell r="A34" t="str">
            <v>6C4</v>
          </cell>
          <cell r="B34" t="str">
            <v>34</v>
          </cell>
          <cell r="C34" t="str">
            <v>NAF 17</v>
          </cell>
          <cell r="D34" t="str">
            <v>C4</v>
          </cell>
          <cell r="E34" t="str">
            <v>6</v>
          </cell>
          <cell r="F34">
            <v>0</v>
          </cell>
          <cell r="G34">
            <v>30.099999999999998</v>
          </cell>
          <cell r="H34">
            <v>60.3</v>
          </cell>
          <cell r="I34">
            <v>9.4</v>
          </cell>
          <cell r="J34" t="str">
            <v>nd</v>
          </cell>
          <cell r="K34">
            <v>69.599999999999994</v>
          </cell>
          <cell r="L34">
            <v>0</v>
          </cell>
          <cell r="M34">
            <v>5.6000000000000005</v>
          </cell>
          <cell r="N34">
            <v>24.9</v>
          </cell>
          <cell r="O34">
            <v>36.9</v>
          </cell>
          <cell r="P34">
            <v>42.4</v>
          </cell>
          <cell r="Q34">
            <v>47.5</v>
          </cell>
          <cell r="R34">
            <v>2.7</v>
          </cell>
          <cell r="S34">
            <v>14.6</v>
          </cell>
          <cell r="T34">
            <v>57.8</v>
          </cell>
          <cell r="U34">
            <v>0</v>
          </cell>
          <cell r="V34">
            <v>4.3</v>
          </cell>
          <cell r="W34">
            <v>8.7999999999999989</v>
          </cell>
          <cell r="X34">
            <v>91.2</v>
          </cell>
          <cell r="Y34">
            <v>0</v>
          </cell>
          <cell r="Z34">
            <v>0</v>
          </cell>
          <cell r="AA34">
            <v>76.099999999999994</v>
          </cell>
          <cell r="AB34" t="str">
            <v>nd</v>
          </cell>
          <cell r="AC34">
            <v>97.7</v>
          </cell>
          <cell r="AD34">
            <v>0</v>
          </cell>
          <cell r="AE34">
            <v>95.3</v>
          </cell>
          <cell r="AF34">
            <v>4.7</v>
          </cell>
          <cell r="AG34">
            <v>75.7</v>
          </cell>
          <cell r="AH34">
            <v>24.3</v>
          </cell>
          <cell r="AI34">
            <v>45.2</v>
          </cell>
          <cell r="AJ34">
            <v>0</v>
          </cell>
          <cell r="AK34">
            <v>25</v>
          </cell>
          <cell r="AL34">
            <v>23.9</v>
          </cell>
          <cell r="AM34">
            <v>5.8999999999999995</v>
          </cell>
          <cell r="AN34">
            <v>16.5</v>
          </cell>
          <cell r="AO34">
            <v>1.7000000000000002</v>
          </cell>
          <cell r="AP34">
            <v>9.7000000000000011</v>
          </cell>
          <cell r="AQ34">
            <v>33.300000000000004</v>
          </cell>
          <cell r="AR34">
            <v>38.800000000000004</v>
          </cell>
          <cell r="AS34">
            <v>22.400000000000002</v>
          </cell>
          <cell r="AT34">
            <v>36.199999999999996</v>
          </cell>
          <cell r="AU34">
            <v>32.700000000000003</v>
          </cell>
          <cell r="AV34">
            <v>3.2</v>
          </cell>
          <cell r="AW34">
            <v>4.7</v>
          </cell>
          <cell r="AX34" t="str">
            <v>nd</v>
          </cell>
          <cell r="AY34">
            <v>6.3</v>
          </cell>
          <cell r="AZ34">
            <v>7.1</v>
          </cell>
          <cell r="BA34">
            <v>29.5</v>
          </cell>
          <cell r="BB34">
            <v>36.700000000000003</v>
          </cell>
          <cell r="BC34">
            <v>19.600000000000001</v>
          </cell>
          <cell r="BD34">
            <v>0.89999999999999991</v>
          </cell>
          <cell r="BE34" t="str">
            <v>nd</v>
          </cell>
          <cell r="BF34" t="str">
            <v>nd</v>
          </cell>
          <cell r="BG34">
            <v>1.7000000000000002</v>
          </cell>
          <cell r="BH34">
            <v>16.7</v>
          </cell>
          <cell r="BI34">
            <v>71.5</v>
          </cell>
          <cell r="BJ34">
            <v>9.1</v>
          </cell>
          <cell r="BK34">
            <v>0</v>
          </cell>
          <cell r="BL34">
            <v>0</v>
          </cell>
          <cell r="BM34" t="str">
            <v>nd</v>
          </cell>
          <cell r="BN34">
            <v>3.5000000000000004</v>
          </cell>
          <cell r="BO34">
            <v>95.6</v>
          </cell>
          <cell r="BP34" t="str">
            <v>nd</v>
          </cell>
          <cell r="BQ34">
            <v>0</v>
          </cell>
          <cell r="BR34">
            <v>0</v>
          </cell>
          <cell r="BS34">
            <v>0</v>
          </cell>
          <cell r="BT34">
            <v>9.5</v>
          </cell>
          <cell r="BU34">
            <v>88.6</v>
          </cell>
          <cell r="BV34">
            <v>1.9</v>
          </cell>
          <cell r="BW34">
            <v>0</v>
          </cell>
          <cell r="BX34">
            <v>0</v>
          </cell>
          <cell r="BY34">
            <v>0</v>
          </cell>
          <cell r="BZ34">
            <v>0</v>
          </cell>
          <cell r="CA34" t="str">
            <v>nd</v>
          </cell>
          <cell r="CB34">
            <v>98.2</v>
          </cell>
          <cell r="CC34">
            <v>3.6999999999999997</v>
          </cell>
          <cell r="CD34">
            <v>27.900000000000002</v>
          </cell>
          <cell r="CE34">
            <v>0</v>
          </cell>
          <cell r="CF34">
            <v>0</v>
          </cell>
          <cell r="CG34">
            <v>0</v>
          </cell>
          <cell r="CH34">
            <v>62.6</v>
          </cell>
          <cell r="CI34">
            <v>18</v>
          </cell>
          <cell r="CJ34">
            <v>35.099999999999994</v>
          </cell>
          <cell r="CK34">
            <v>74.2</v>
          </cell>
          <cell r="CL34">
            <v>33.800000000000004</v>
          </cell>
          <cell r="CM34">
            <v>0</v>
          </cell>
          <cell r="CN34">
            <v>0</v>
          </cell>
          <cell r="CO34">
            <v>9.3000000000000007</v>
          </cell>
          <cell r="CP34" t="str">
            <v>nd</v>
          </cell>
          <cell r="CQ34">
            <v>22.8</v>
          </cell>
          <cell r="CR34">
            <v>29.599999999999998</v>
          </cell>
          <cell r="CS34">
            <v>38.6</v>
          </cell>
          <cell r="CT34">
            <v>15.2</v>
          </cell>
          <cell r="CU34">
            <v>84.8</v>
          </cell>
          <cell r="CV34">
            <v>21.6</v>
          </cell>
          <cell r="CW34">
            <v>78.400000000000006</v>
          </cell>
          <cell r="CX34">
            <v>20.399999999999999</v>
          </cell>
          <cell r="CY34">
            <v>33.4</v>
          </cell>
          <cell r="CZ34">
            <v>46.2</v>
          </cell>
          <cell r="DA34">
            <v>51.5</v>
          </cell>
          <cell r="DB34" t="str">
            <v>nd</v>
          </cell>
          <cell r="DC34" t="str">
            <v>nd</v>
          </cell>
          <cell r="DD34">
            <v>0</v>
          </cell>
          <cell r="DE34">
            <v>66.2</v>
          </cell>
          <cell r="DF34">
            <v>1.9</v>
          </cell>
          <cell r="DG34">
            <v>1.5</v>
          </cell>
          <cell r="DH34">
            <v>15.5</v>
          </cell>
          <cell r="DI34">
            <v>20.7</v>
          </cell>
          <cell r="DJ34">
            <v>45.1</v>
          </cell>
          <cell r="DK34">
            <v>15.299999999999999</v>
          </cell>
          <cell r="DL34">
            <v>3.4000000000000004</v>
          </cell>
          <cell r="DM34">
            <v>43.9</v>
          </cell>
          <cell r="DN34">
            <v>0</v>
          </cell>
          <cell r="DO34">
            <v>53.800000000000004</v>
          </cell>
          <cell r="DP34">
            <v>8.6</v>
          </cell>
          <cell r="DQ34">
            <v>29.7</v>
          </cell>
          <cell r="DR34">
            <v>33.900000000000006</v>
          </cell>
          <cell r="DS34">
            <v>35</v>
          </cell>
          <cell r="DT34">
            <v>7.9</v>
          </cell>
          <cell r="DU34">
            <v>0</v>
          </cell>
          <cell r="DV34">
            <v>0</v>
          </cell>
          <cell r="DW34">
            <v>0</v>
          </cell>
          <cell r="DX34">
            <v>0</v>
          </cell>
          <cell r="DY34">
            <v>0</v>
          </cell>
          <cell r="DZ34" t="str">
            <v>nd</v>
          </cell>
          <cell r="EA34">
            <v>6.9303094999999999</v>
          </cell>
          <cell r="EB34">
            <v>19.816440799999999</v>
          </cell>
          <cell r="EC34" t="str">
            <v>nd</v>
          </cell>
          <cell r="ED34">
            <v>0</v>
          </cell>
          <cell r="EE34" t="str">
            <v>nd</v>
          </cell>
          <cell r="EF34">
            <v>12.078483700000001</v>
          </cell>
          <cell r="EG34">
            <v>27.142376499999997</v>
          </cell>
          <cell r="EH34">
            <v>12.939991300000001</v>
          </cell>
          <cell r="EI34">
            <v>2.6069599999999999</v>
          </cell>
          <cell r="EJ34">
            <v>4.68527</v>
          </cell>
          <cell r="EK34">
            <v>0</v>
          </cell>
          <cell r="EL34">
            <v>6.8886128000000006</v>
          </cell>
          <cell r="EM34">
            <v>2.1593500000000003</v>
          </cell>
          <cell r="EN34">
            <v>0</v>
          </cell>
          <cell r="EO34" t="str">
            <v>nd</v>
          </cell>
          <cell r="EP34">
            <v>0</v>
          </cell>
          <cell r="EQ34" t="str">
            <v>nd</v>
          </cell>
          <cell r="ER34" t="str">
            <v>nd</v>
          </cell>
          <cell r="ES34">
            <v>0</v>
          </cell>
          <cell r="ET34">
            <v>0</v>
          </cell>
          <cell r="EU34">
            <v>0</v>
          </cell>
          <cell r="EV34">
            <v>0</v>
          </cell>
          <cell r="EW34">
            <v>0</v>
          </cell>
          <cell r="EX34">
            <v>0</v>
          </cell>
          <cell r="EY34">
            <v>0</v>
          </cell>
          <cell r="EZ34">
            <v>0</v>
          </cell>
          <cell r="FA34">
            <v>0</v>
          </cell>
          <cell r="FB34">
            <v>0</v>
          </cell>
          <cell r="FC34" t="str">
            <v>nd</v>
          </cell>
          <cell r="FD34" t="str">
            <v>nd</v>
          </cell>
          <cell r="FE34" t="str">
            <v>nd</v>
          </cell>
          <cell r="FF34">
            <v>8.8906340999999998</v>
          </cell>
          <cell r="FG34">
            <v>4.32707</v>
          </cell>
          <cell r="FH34">
            <v>0</v>
          </cell>
          <cell r="FI34" t="str">
            <v>nd</v>
          </cell>
          <cell r="FJ34">
            <v>6.7603958000000004</v>
          </cell>
          <cell r="FK34">
            <v>12.643291100000001</v>
          </cell>
          <cell r="FL34">
            <v>21.6166524</v>
          </cell>
          <cell r="FM34">
            <v>12.328997599999999</v>
          </cell>
          <cell r="FN34">
            <v>0.88090000000000013</v>
          </cell>
          <cell r="FO34">
            <v>0</v>
          </cell>
          <cell r="FP34">
            <v>0</v>
          </cell>
          <cell r="FQ34" t="str">
            <v>nd</v>
          </cell>
          <cell r="FR34">
            <v>6.1463299999999998</v>
          </cell>
          <cell r="FS34">
            <v>2.6763400000000002</v>
          </cell>
          <cell r="FT34">
            <v>0</v>
          </cell>
          <cell r="FU34">
            <v>0</v>
          </cell>
          <cell r="FV34">
            <v>0</v>
          </cell>
          <cell r="FW34">
            <v>0</v>
          </cell>
          <cell r="FX34">
            <v>0</v>
          </cell>
          <cell r="FY34" t="str">
            <v>nd</v>
          </cell>
          <cell r="FZ34">
            <v>0</v>
          </cell>
          <cell r="GA34">
            <v>0</v>
          </cell>
          <cell r="GB34">
            <v>0</v>
          </cell>
          <cell r="GC34">
            <v>0</v>
          </cell>
          <cell r="GD34">
            <v>0</v>
          </cell>
          <cell r="GE34">
            <v>0</v>
          </cell>
          <cell r="GF34">
            <v>0</v>
          </cell>
          <cell r="GG34">
            <v>0</v>
          </cell>
          <cell r="GH34">
            <v>0</v>
          </cell>
          <cell r="GI34">
            <v>6.4092613000000007</v>
          </cell>
          <cell r="GJ34">
            <v>22.2424626</v>
          </cell>
          <cell r="GK34" t="str">
            <v>nd</v>
          </cell>
          <cell r="GL34">
            <v>0</v>
          </cell>
          <cell r="GM34" t="str">
            <v>nd</v>
          </cell>
          <cell r="GN34">
            <v>1.6741200000000001</v>
          </cell>
          <cell r="GO34">
            <v>10.0418261</v>
          </cell>
          <cell r="GP34">
            <v>40.487918299999997</v>
          </cell>
          <cell r="GQ34">
            <v>5.0309100000000004</v>
          </cell>
          <cell r="GR34" t="str">
            <v>nd</v>
          </cell>
          <cell r="GS34">
            <v>0</v>
          </cell>
          <cell r="GT34">
            <v>0</v>
          </cell>
          <cell r="GU34" t="str">
            <v>nd</v>
          </cell>
          <cell r="GV34">
            <v>8.4839547999999994</v>
          </cell>
          <cell r="GW34" t="str">
            <v>nd</v>
          </cell>
          <cell r="GX34">
            <v>0</v>
          </cell>
          <cell r="GY34">
            <v>0</v>
          </cell>
          <cell r="GZ34">
            <v>0</v>
          </cell>
          <cell r="HA34">
            <v>0</v>
          </cell>
          <cell r="HB34" t="str">
            <v>nd</v>
          </cell>
          <cell r="HC34">
            <v>0</v>
          </cell>
          <cell r="HD34">
            <v>0</v>
          </cell>
          <cell r="HE34">
            <v>0</v>
          </cell>
          <cell r="HF34">
            <v>0</v>
          </cell>
          <cell r="HG34">
            <v>0</v>
          </cell>
          <cell r="HH34">
            <v>0</v>
          </cell>
          <cell r="HI34">
            <v>0</v>
          </cell>
          <cell r="HJ34">
            <v>0</v>
          </cell>
          <cell r="HK34">
            <v>0</v>
          </cell>
          <cell r="HL34" t="str">
            <v>nd</v>
          </cell>
          <cell r="HM34">
            <v>33.797400799999998</v>
          </cell>
          <cell r="HN34">
            <v>0</v>
          </cell>
          <cell r="HO34">
            <v>0</v>
          </cell>
          <cell r="HP34">
            <v>0</v>
          </cell>
          <cell r="HQ34">
            <v>0</v>
          </cell>
          <cell r="HR34">
            <v>1.7977400000000001</v>
          </cell>
          <cell r="HS34">
            <v>52.250618500000002</v>
          </cell>
          <cell r="HT34">
            <v>0</v>
          </cell>
          <cell r="HU34">
            <v>0</v>
          </cell>
          <cell r="HV34">
            <v>0</v>
          </cell>
          <cell r="HW34" t="str">
            <v>nd</v>
          </cell>
          <cell r="HX34" t="str">
            <v>nd</v>
          </cell>
          <cell r="HY34">
            <v>9.3199372</v>
          </cell>
          <cell r="HZ34" t="str">
            <v>nd</v>
          </cell>
          <cell r="IA34">
            <v>0</v>
          </cell>
          <cell r="IB34">
            <v>0</v>
          </cell>
          <cell r="IC34">
            <v>0</v>
          </cell>
          <cell r="ID34">
            <v>0</v>
          </cell>
          <cell r="IE34" t="str">
            <v>nd</v>
          </cell>
          <cell r="IF34">
            <v>0</v>
          </cell>
          <cell r="IG34">
            <v>0</v>
          </cell>
          <cell r="IH34">
            <v>0</v>
          </cell>
          <cell r="II34">
            <v>0</v>
          </cell>
          <cell r="IJ34">
            <v>0</v>
          </cell>
          <cell r="IK34">
            <v>0</v>
          </cell>
          <cell r="IL34">
            <v>0</v>
          </cell>
          <cell r="IM34">
            <v>0</v>
          </cell>
          <cell r="IN34">
            <v>0</v>
          </cell>
          <cell r="IO34" t="str">
            <v>nd</v>
          </cell>
          <cell r="IP34">
            <v>27.263456200000004</v>
          </cell>
          <cell r="IQ34" t="str">
            <v>nd</v>
          </cell>
          <cell r="IR34">
            <v>0</v>
          </cell>
          <cell r="IS34">
            <v>0</v>
          </cell>
          <cell r="IT34">
            <v>0</v>
          </cell>
          <cell r="IU34">
            <v>4.06555</v>
          </cell>
          <cell r="IV34">
            <v>53.285172599999996</v>
          </cell>
          <cell r="IW34" t="str">
            <v>nd</v>
          </cell>
          <cell r="IX34">
            <v>0</v>
          </cell>
          <cell r="IY34">
            <v>0</v>
          </cell>
          <cell r="IZ34">
            <v>0</v>
          </cell>
          <cell r="JA34" t="str">
            <v>nd</v>
          </cell>
          <cell r="JB34">
            <v>7.7893013999999994</v>
          </cell>
          <cell r="JC34" t="str">
            <v>nd</v>
          </cell>
          <cell r="JD34">
            <v>0</v>
          </cell>
          <cell r="JE34">
            <v>0</v>
          </cell>
          <cell r="JF34">
            <v>0</v>
          </cell>
          <cell r="JG34">
            <v>0</v>
          </cell>
          <cell r="JH34" t="str">
            <v>nd</v>
          </cell>
          <cell r="JI34">
            <v>0</v>
          </cell>
          <cell r="JJ34">
            <v>0</v>
          </cell>
          <cell r="JK34">
            <v>0</v>
          </cell>
          <cell r="JL34">
            <v>0</v>
          </cell>
          <cell r="JM34">
            <v>0</v>
          </cell>
          <cell r="JN34">
            <v>0</v>
          </cell>
          <cell r="JO34">
            <v>0</v>
          </cell>
          <cell r="JP34">
            <v>0</v>
          </cell>
          <cell r="JQ34">
            <v>0</v>
          </cell>
          <cell r="JR34">
            <v>0</v>
          </cell>
          <cell r="JS34" t="str">
            <v>nd</v>
          </cell>
          <cell r="JT34">
            <v>32.523327399999999</v>
          </cell>
          <cell r="JU34">
            <v>0</v>
          </cell>
          <cell r="JV34">
            <v>0</v>
          </cell>
          <cell r="JW34">
            <v>0</v>
          </cell>
          <cell r="JX34">
            <v>0</v>
          </cell>
          <cell r="JY34" t="str">
            <v>nd</v>
          </cell>
          <cell r="JZ34">
            <v>58.267177599999997</v>
          </cell>
          <cell r="KA34">
            <v>0</v>
          </cell>
          <cell r="KB34">
            <v>0</v>
          </cell>
          <cell r="KC34">
            <v>0</v>
          </cell>
          <cell r="KD34">
            <v>0</v>
          </cell>
          <cell r="KE34">
            <v>0</v>
          </cell>
          <cell r="KF34">
            <v>7.1832858999999996</v>
          </cell>
          <cell r="KG34">
            <v>0</v>
          </cell>
          <cell r="KH34">
            <v>0</v>
          </cell>
          <cell r="KI34">
            <v>0</v>
          </cell>
          <cell r="KJ34">
            <v>0</v>
          </cell>
          <cell r="KK34">
            <v>0</v>
          </cell>
          <cell r="KL34" t="str">
            <v>nd</v>
          </cell>
          <cell r="KM34">
            <v>53.300000000000004</v>
          </cell>
          <cell r="KN34">
            <v>28.199999999999996</v>
          </cell>
          <cell r="KO34">
            <v>7.8</v>
          </cell>
          <cell r="KP34">
            <v>4.7</v>
          </cell>
          <cell r="KQ34">
            <v>5.8999999999999995</v>
          </cell>
          <cell r="KR34">
            <v>0.1</v>
          </cell>
          <cell r="KS34">
            <v>49.6</v>
          </cell>
          <cell r="KT34">
            <v>29.599999999999998</v>
          </cell>
          <cell r="KU34">
            <v>9.1999999999999993</v>
          </cell>
          <cell r="KV34">
            <v>4.9000000000000004</v>
          </cell>
          <cell r="KW34">
            <v>6.5</v>
          </cell>
          <cell r="KX34">
            <v>0.1</v>
          </cell>
          <cell r="KY34"/>
          <cell r="KZ34"/>
          <cell r="LA34"/>
          <cell r="LB34"/>
          <cell r="LC34"/>
          <cell r="LD34"/>
          <cell r="LE34"/>
          <cell r="LF34"/>
          <cell r="LG34"/>
          <cell r="LH34"/>
          <cell r="LI34"/>
          <cell r="LJ34"/>
          <cell r="LK34"/>
          <cell r="LL34"/>
          <cell r="LM34"/>
          <cell r="LN34"/>
          <cell r="LO34"/>
        </row>
        <row r="35">
          <cell r="A35" t="str">
            <v>EnsC5</v>
          </cell>
          <cell r="B35" t="str">
            <v>35</v>
          </cell>
          <cell r="C35" t="str">
            <v>NAF 17</v>
          </cell>
          <cell r="D35" t="str">
            <v>C5</v>
          </cell>
          <cell r="E35" t="str">
            <v/>
          </cell>
          <cell r="F35">
            <v>0.1</v>
          </cell>
          <cell r="G35">
            <v>10.7</v>
          </cell>
          <cell r="H35">
            <v>43.6</v>
          </cell>
          <cell r="I35">
            <v>35.199999999999996</v>
          </cell>
          <cell r="J35">
            <v>10.4</v>
          </cell>
          <cell r="K35">
            <v>79.7</v>
          </cell>
          <cell r="L35">
            <v>5.6000000000000005</v>
          </cell>
          <cell r="M35">
            <v>8.4</v>
          </cell>
          <cell r="N35">
            <v>6.3</v>
          </cell>
          <cell r="O35">
            <v>28.799999999999997</v>
          </cell>
          <cell r="P35">
            <v>23.599999999999998</v>
          </cell>
          <cell r="Q35">
            <v>19.600000000000001</v>
          </cell>
          <cell r="R35">
            <v>8.6999999999999993</v>
          </cell>
          <cell r="S35">
            <v>14.499999999999998</v>
          </cell>
          <cell r="T35">
            <v>48.5</v>
          </cell>
          <cell r="U35">
            <v>2.8000000000000003</v>
          </cell>
          <cell r="V35">
            <v>14.899999999999999</v>
          </cell>
          <cell r="W35">
            <v>14.2</v>
          </cell>
          <cell r="X35">
            <v>80.600000000000009</v>
          </cell>
          <cell r="Y35">
            <v>5.3</v>
          </cell>
          <cell r="Z35">
            <v>11.799999999999999</v>
          </cell>
          <cell r="AA35">
            <v>55.900000000000006</v>
          </cell>
          <cell r="AB35">
            <v>22.1</v>
          </cell>
          <cell r="AC35">
            <v>41.199999999999996</v>
          </cell>
          <cell r="AD35">
            <v>16.2</v>
          </cell>
          <cell r="AE35">
            <v>61.3</v>
          </cell>
          <cell r="AF35">
            <v>38.700000000000003</v>
          </cell>
          <cell r="AG35">
            <v>70.899999999999991</v>
          </cell>
          <cell r="AH35">
            <v>29.099999999999998</v>
          </cell>
          <cell r="AI35">
            <v>60.5</v>
          </cell>
          <cell r="AJ35">
            <v>2.4</v>
          </cell>
          <cell r="AK35">
            <v>2.4</v>
          </cell>
          <cell r="AL35">
            <v>29.7</v>
          </cell>
          <cell r="AM35">
            <v>4.9000000000000004</v>
          </cell>
          <cell r="AN35">
            <v>12.4</v>
          </cell>
          <cell r="AO35">
            <v>4.1000000000000005</v>
          </cell>
          <cell r="AP35">
            <v>6.5</v>
          </cell>
          <cell r="AQ35">
            <v>67.300000000000011</v>
          </cell>
          <cell r="AR35">
            <v>9.6</v>
          </cell>
          <cell r="AS35">
            <v>61.7</v>
          </cell>
          <cell r="AT35">
            <v>21</v>
          </cell>
          <cell r="AU35">
            <v>8.2000000000000011</v>
          </cell>
          <cell r="AV35">
            <v>3.9</v>
          </cell>
          <cell r="AW35">
            <v>2.1999999999999997</v>
          </cell>
          <cell r="AX35">
            <v>3.1</v>
          </cell>
          <cell r="AY35">
            <v>1.6</v>
          </cell>
          <cell r="AZ35">
            <v>3.4000000000000004</v>
          </cell>
          <cell r="BA35">
            <v>6.1</v>
          </cell>
          <cell r="BB35">
            <v>17.299999999999997</v>
          </cell>
          <cell r="BC35">
            <v>42.5</v>
          </cell>
          <cell r="BD35">
            <v>29.2</v>
          </cell>
          <cell r="BE35">
            <v>0.8</v>
          </cell>
          <cell r="BF35">
            <v>2.4</v>
          </cell>
          <cell r="BG35">
            <v>2.9000000000000004</v>
          </cell>
          <cell r="BH35">
            <v>7.1999999999999993</v>
          </cell>
          <cell r="BI35">
            <v>38.200000000000003</v>
          </cell>
          <cell r="BJ35">
            <v>48.5</v>
          </cell>
          <cell r="BK35" t="str">
            <v>nd</v>
          </cell>
          <cell r="BL35" t="str">
            <v>nd</v>
          </cell>
          <cell r="BM35">
            <v>0.5</v>
          </cell>
          <cell r="BN35">
            <v>8.4</v>
          </cell>
          <cell r="BO35">
            <v>76.5</v>
          </cell>
          <cell r="BP35">
            <v>14.299999999999999</v>
          </cell>
          <cell r="BQ35" t="str">
            <v>nd</v>
          </cell>
          <cell r="BR35" t="str">
            <v>nd</v>
          </cell>
          <cell r="BS35">
            <v>0.89999999999999991</v>
          </cell>
          <cell r="BT35">
            <v>10.9</v>
          </cell>
          <cell r="BU35">
            <v>60.099999999999994</v>
          </cell>
          <cell r="BV35">
            <v>28.000000000000004</v>
          </cell>
          <cell r="BW35">
            <v>0</v>
          </cell>
          <cell r="BX35">
            <v>0</v>
          </cell>
          <cell r="BY35" t="str">
            <v>nd</v>
          </cell>
          <cell r="BZ35">
            <v>0.1</v>
          </cell>
          <cell r="CA35">
            <v>1.7000000000000002</v>
          </cell>
          <cell r="CB35">
            <v>98.1</v>
          </cell>
          <cell r="CC35">
            <v>18.600000000000001</v>
          </cell>
          <cell r="CD35">
            <v>13.600000000000001</v>
          </cell>
          <cell r="CE35">
            <v>1.0999999999999999</v>
          </cell>
          <cell r="CF35">
            <v>1.9</v>
          </cell>
          <cell r="CG35">
            <v>0.5</v>
          </cell>
          <cell r="CH35">
            <v>18.8</v>
          </cell>
          <cell r="CI35">
            <v>7.1</v>
          </cell>
          <cell r="CJ35">
            <v>61.3</v>
          </cell>
          <cell r="CK35">
            <v>42.8</v>
          </cell>
          <cell r="CL35">
            <v>8.3000000000000007</v>
          </cell>
          <cell r="CM35">
            <v>2.1999999999999997</v>
          </cell>
          <cell r="CN35">
            <v>1.7000000000000002</v>
          </cell>
          <cell r="CO35">
            <v>54.1</v>
          </cell>
          <cell r="CP35">
            <v>19.7</v>
          </cell>
          <cell r="CQ35">
            <v>38.800000000000004</v>
          </cell>
          <cell r="CR35">
            <v>10.100000000000001</v>
          </cell>
          <cell r="CS35">
            <v>31.3</v>
          </cell>
          <cell r="CT35">
            <v>11</v>
          </cell>
          <cell r="CU35">
            <v>89</v>
          </cell>
          <cell r="CV35">
            <v>18.3</v>
          </cell>
          <cell r="CW35">
            <v>81.699999999999989</v>
          </cell>
          <cell r="CX35">
            <v>19.8</v>
          </cell>
          <cell r="CY35">
            <v>39.5</v>
          </cell>
          <cell r="CZ35">
            <v>40.6</v>
          </cell>
          <cell r="DA35">
            <v>30.9</v>
          </cell>
          <cell r="DB35">
            <v>6.9</v>
          </cell>
          <cell r="DC35">
            <v>12</v>
          </cell>
          <cell r="DD35">
            <v>1.7000000000000002</v>
          </cell>
          <cell r="DE35">
            <v>65.100000000000009</v>
          </cell>
          <cell r="DF35">
            <v>18.600000000000001</v>
          </cell>
          <cell r="DG35">
            <v>5.6000000000000005</v>
          </cell>
          <cell r="DH35">
            <v>10.7</v>
          </cell>
          <cell r="DI35">
            <v>15.2</v>
          </cell>
          <cell r="DJ35">
            <v>26.6</v>
          </cell>
          <cell r="DK35">
            <v>23.3</v>
          </cell>
          <cell r="DL35">
            <v>16.5</v>
          </cell>
          <cell r="DM35">
            <v>51.9</v>
          </cell>
          <cell r="DN35">
            <v>5.2</v>
          </cell>
          <cell r="DO35">
            <v>19.5</v>
          </cell>
          <cell r="DP35">
            <v>5.3</v>
          </cell>
          <cell r="DQ35">
            <v>2.1999999999999997</v>
          </cell>
          <cell r="DR35">
            <v>15.5</v>
          </cell>
          <cell r="DS35">
            <v>15.6</v>
          </cell>
          <cell r="DT35">
            <v>13.600000000000001</v>
          </cell>
          <cell r="DU35">
            <v>0</v>
          </cell>
          <cell r="DV35">
            <v>0</v>
          </cell>
          <cell r="DW35" t="str">
            <v>nd</v>
          </cell>
          <cell r="DX35" t="str">
            <v>nd</v>
          </cell>
          <cell r="DY35" t="str">
            <v>nd</v>
          </cell>
          <cell r="DZ35">
            <v>3.52156</v>
          </cell>
          <cell r="EA35">
            <v>2.70703</v>
          </cell>
          <cell r="EB35">
            <v>2.77311</v>
          </cell>
          <cell r="EC35">
            <v>0.88079000000000007</v>
          </cell>
          <cell r="ED35">
            <v>0.35608800000000002</v>
          </cell>
          <cell r="EE35" t="str">
            <v>nd</v>
          </cell>
          <cell r="EF35">
            <v>26.520194400000001</v>
          </cell>
          <cell r="EG35">
            <v>9.8493733999999993</v>
          </cell>
          <cell r="EH35">
            <v>3.9913600000000002</v>
          </cell>
          <cell r="EI35">
            <v>1.69387</v>
          </cell>
          <cell r="EJ35">
            <v>1.08066</v>
          </cell>
          <cell r="EK35">
            <v>0.83499999999999996</v>
          </cell>
          <cell r="EL35">
            <v>23.632985999999999</v>
          </cell>
          <cell r="EM35">
            <v>7.0191700999999993</v>
          </cell>
          <cell r="EN35">
            <v>1.0569900000000001</v>
          </cell>
          <cell r="EO35">
            <v>1.16432</v>
          </cell>
          <cell r="EP35">
            <v>0.66287600000000002</v>
          </cell>
          <cell r="EQ35">
            <v>1.5114700000000001</v>
          </cell>
          <cell r="ER35">
            <v>7.9256491000000002</v>
          </cell>
          <cell r="ES35">
            <v>1.4749000000000001</v>
          </cell>
          <cell r="ET35">
            <v>0.36151</v>
          </cell>
          <cell r="EU35" t="str">
            <v>nd</v>
          </cell>
          <cell r="EV35" t="str">
            <v>nd</v>
          </cell>
          <cell r="EW35">
            <v>0.42655100000000001</v>
          </cell>
          <cell r="EX35">
            <v>0</v>
          </cell>
          <cell r="EY35" t="str">
            <v>nd</v>
          </cell>
          <cell r="EZ35" t="str">
            <v>nd</v>
          </cell>
          <cell r="FA35">
            <v>0</v>
          </cell>
          <cell r="FB35">
            <v>0</v>
          </cell>
          <cell r="FC35" t="str">
            <v>nd</v>
          </cell>
          <cell r="FD35" t="str">
            <v>nd</v>
          </cell>
          <cell r="FE35">
            <v>0.73609499999999994</v>
          </cell>
          <cell r="FF35">
            <v>1.4495499999999999</v>
          </cell>
          <cell r="FG35">
            <v>5.8746900000000002</v>
          </cell>
          <cell r="FH35">
            <v>2.12283</v>
          </cell>
          <cell r="FI35">
            <v>0.54159100000000004</v>
          </cell>
          <cell r="FJ35">
            <v>1.9326200000000002</v>
          </cell>
          <cell r="FK35">
            <v>2.1429299999999998</v>
          </cell>
          <cell r="FL35">
            <v>8.2122481000000001</v>
          </cell>
          <cell r="FM35">
            <v>19.691537</v>
          </cell>
          <cell r="FN35">
            <v>11.001742399999999</v>
          </cell>
          <cell r="FO35">
            <v>0.92242999999999997</v>
          </cell>
          <cell r="FP35">
            <v>1.3849200000000002</v>
          </cell>
          <cell r="FQ35">
            <v>2.4117199999999999</v>
          </cell>
          <cell r="FR35">
            <v>6.2274000000000003</v>
          </cell>
          <cell r="FS35">
            <v>12.320242500000001</v>
          </cell>
          <cell r="FT35">
            <v>12.4427983</v>
          </cell>
          <cell r="FU35" t="str">
            <v>nd</v>
          </cell>
          <cell r="FV35" t="str">
            <v>nd</v>
          </cell>
          <cell r="FW35">
            <v>0.77024599999999999</v>
          </cell>
          <cell r="FX35">
            <v>1.3106100000000001</v>
          </cell>
          <cell r="FY35">
            <v>4.5689000000000002</v>
          </cell>
          <cell r="FZ35">
            <v>3.6550100000000003</v>
          </cell>
          <cell r="GA35" t="str">
            <v>nd</v>
          </cell>
          <cell r="GB35">
            <v>0</v>
          </cell>
          <cell r="GC35">
            <v>0</v>
          </cell>
          <cell r="GD35" t="str">
            <v>nd</v>
          </cell>
          <cell r="GE35">
            <v>0</v>
          </cell>
          <cell r="GF35">
            <v>0.45859000000000005</v>
          </cell>
          <cell r="GG35">
            <v>1.1685700000000001</v>
          </cell>
          <cell r="GH35">
            <v>1.3446899999999999</v>
          </cell>
          <cell r="GI35">
            <v>1.50282</v>
          </cell>
          <cell r="GJ35">
            <v>3.70587</v>
          </cell>
          <cell r="GK35">
            <v>2.3747699999999998</v>
          </cell>
          <cell r="GL35">
            <v>0.28933300000000001</v>
          </cell>
          <cell r="GM35">
            <v>0.89899000000000007</v>
          </cell>
          <cell r="GN35">
            <v>1.1646300000000001</v>
          </cell>
          <cell r="GO35">
            <v>4.7138</v>
          </cell>
          <cell r="GP35">
            <v>19.9244068</v>
          </cell>
          <cell r="GQ35">
            <v>16.608393900000003</v>
          </cell>
          <cell r="GR35">
            <v>0</v>
          </cell>
          <cell r="GS35" t="str">
            <v>nd</v>
          </cell>
          <cell r="GT35">
            <v>0.342275</v>
          </cell>
          <cell r="GU35">
            <v>0.61014699999999999</v>
          </cell>
          <cell r="GV35">
            <v>10.350316099999999</v>
          </cell>
          <cell r="GW35">
            <v>24.266538799999999</v>
          </cell>
          <cell r="GX35">
            <v>0</v>
          </cell>
          <cell r="GY35" t="str">
            <v>nd</v>
          </cell>
          <cell r="GZ35">
            <v>0</v>
          </cell>
          <cell r="HA35">
            <v>0.39559499999999997</v>
          </cell>
          <cell r="HB35">
            <v>4.2420499999999999</v>
          </cell>
          <cell r="HC35">
            <v>5.2844600000000002</v>
          </cell>
          <cell r="HD35">
            <v>0</v>
          </cell>
          <cell r="HE35" t="str">
            <v>nd</v>
          </cell>
          <cell r="HF35">
            <v>0</v>
          </cell>
          <cell r="HG35">
            <v>0</v>
          </cell>
          <cell r="HH35" t="str">
            <v>nd</v>
          </cell>
          <cell r="HI35">
            <v>0</v>
          </cell>
          <cell r="HJ35">
            <v>0</v>
          </cell>
          <cell r="HK35">
            <v>0</v>
          </cell>
          <cell r="HL35">
            <v>1.4441000000000002</v>
          </cell>
          <cell r="HM35">
            <v>7.4486144000000003</v>
          </cell>
          <cell r="HN35">
            <v>1.54145</v>
          </cell>
          <cell r="HO35" t="str">
            <v>nd</v>
          </cell>
          <cell r="HP35">
            <v>0</v>
          </cell>
          <cell r="HQ35">
            <v>0.27181300000000003</v>
          </cell>
          <cell r="HR35">
            <v>3.4749599999999998</v>
          </cell>
          <cell r="HS35">
            <v>35.182857800000001</v>
          </cell>
          <cell r="HT35">
            <v>4.6259399999999999</v>
          </cell>
          <cell r="HU35" t="str">
            <v>nd</v>
          </cell>
          <cell r="HV35" t="str">
            <v>nd</v>
          </cell>
          <cell r="HW35">
            <v>0</v>
          </cell>
          <cell r="HX35">
            <v>2.5408499999999998</v>
          </cell>
          <cell r="HY35">
            <v>26.428002299999996</v>
          </cell>
          <cell r="HZ35">
            <v>6.3977637000000005</v>
          </cell>
          <cell r="IA35">
            <v>0</v>
          </cell>
          <cell r="IB35">
            <v>0</v>
          </cell>
          <cell r="IC35" t="str">
            <v>nd</v>
          </cell>
          <cell r="ID35">
            <v>0.99602999999999997</v>
          </cell>
          <cell r="IE35">
            <v>7.2815601999999995</v>
          </cell>
          <cell r="IF35">
            <v>1.7511700000000001</v>
          </cell>
          <cell r="IG35">
            <v>0</v>
          </cell>
          <cell r="IH35" t="str">
            <v>nd</v>
          </cell>
          <cell r="II35">
            <v>0</v>
          </cell>
          <cell r="IJ35" t="str">
            <v>nd</v>
          </cell>
          <cell r="IK35">
            <v>0</v>
          </cell>
          <cell r="IL35">
            <v>0</v>
          </cell>
          <cell r="IM35" t="str">
            <v>nd</v>
          </cell>
          <cell r="IN35">
            <v>0.24688399999999999</v>
          </cell>
          <cell r="IO35">
            <v>1.9823899999999999</v>
          </cell>
          <cell r="IP35">
            <v>5.9332200000000004</v>
          </cell>
          <cell r="IQ35">
            <v>2.22038</v>
          </cell>
          <cell r="IR35">
            <v>0</v>
          </cell>
          <cell r="IS35">
            <v>0</v>
          </cell>
          <cell r="IT35">
            <v>0.50178899999999993</v>
          </cell>
          <cell r="IU35">
            <v>4.9550999999999998</v>
          </cell>
          <cell r="IV35">
            <v>27.719681099999999</v>
          </cell>
          <cell r="IW35">
            <v>10.5711578</v>
          </cell>
          <cell r="IX35">
            <v>0</v>
          </cell>
          <cell r="IY35">
            <v>0</v>
          </cell>
          <cell r="IZ35">
            <v>0.17039299999999999</v>
          </cell>
          <cell r="JA35">
            <v>3.02257</v>
          </cell>
          <cell r="JB35">
            <v>21.290077</v>
          </cell>
          <cell r="JC35">
            <v>10.985982099999999</v>
          </cell>
          <cell r="JD35" t="str">
            <v>nd</v>
          </cell>
          <cell r="JE35">
            <v>0</v>
          </cell>
          <cell r="JF35">
            <v>0</v>
          </cell>
          <cell r="JG35">
            <v>0.92447999999999997</v>
          </cell>
          <cell r="JH35">
            <v>5.0694400000000002</v>
          </cell>
          <cell r="JI35">
            <v>4.2114500000000001</v>
          </cell>
          <cell r="JJ35">
            <v>0</v>
          </cell>
          <cell r="JK35">
            <v>0</v>
          </cell>
          <cell r="JL35">
            <v>0</v>
          </cell>
          <cell r="JM35">
            <v>0</v>
          </cell>
          <cell r="JN35">
            <v>9.5877900000000002E-2</v>
          </cell>
          <cell r="JO35">
            <v>0</v>
          </cell>
          <cell r="JP35">
            <v>0</v>
          </cell>
          <cell r="JQ35">
            <v>0</v>
          </cell>
          <cell r="JR35" t="str">
            <v>nd</v>
          </cell>
          <cell r="JS35" t="str">
            <v>nd</v>
          </cell>
          <cell r="JT35">
            <v>10.059165200000001</v>
          </cell>
          <cell r="JU35">
            <v>0</v>
          </cell>
          <cell r="JV35">
            <v>0</v>
          </cell>
          <cell r="JW35" t="str">
            <v>nd</v>
          </cell>
          <cell r="JX35">
            <v>0.100247</v>
          </cell>
          <cell r="JY35">
            <v>0.57796400000000003</v>
          </cell>
          <cell r="JZ35">
            <v>42.7634519</v>
          </cell>
          <cell r="KA35">
            <v>0</v>
          </cell>
          <cell r="KB35">
            <v>0</v>
          </cell>
          <cell r="KC35">
            <v>0</v>
          </cell>
          <cell r="KD35">
            <v>0</v>
          </cell>
          <cell r="KE35">
            <v>0.60427900000000001</v>
          </cell>
          <cell r="KF35">
            <v>35.156835299999997</v>
          </cell>
          <cell r="KG35">
            <v>0</v>
          </cell>
          <cell r="KH35">
            <v>0</v>
          </cell>
          <cell r="KI35">
            <v>0</v>
          </cell>
          <cell r="KJ35">
            <v>0</v>
          </cell>
          <cell r="KK35">
            <v>0.212424</v>
          </cell>
          <cell r="KL35">
            <v>9.9946987000000007</v>
          </cell>
          <cell r="KM35">
            <v>70.7</v>
          </cell>
          <cell r="KN35">
            <v>11</v>
          </cell>
          <cell r="KO35">
            <v>6.3</v>
          </cell>
          <cell r="KP35">
            <v>6.1</v>
          </cell>
          <cell r="KQ35">
            <v>5.6000000000000005</v>
          </cell>
          <cell r="KR35">
            <v>0.1</v>
          </cell>
          <cell r="KS35">
            <v>68.8</v>
          </cell>
          <cell r="KT35">
            <v>11.700000000000001</v>
          </cell>
          <cell r="KU35">
            <v>6.6000000000000005</v>
          </cell>
          <cell r="KV35">
            <v>6.6000000000000005</v>
          </cell>
          <cell r="KW35">
            <v>6.2</v>
          </cell>
          <cell r="KX35">
            <v>0.1</v>
          </cell>
          <cell r="KY35"/>
          <cell r="KZ35"/>
          <cell r="LA35"/>
          <cell r="LB35"/>
          <cell r="LC35"/>
          <cell r="LD35"/>
          <cell r="LE35"/>
          <cell r="LF35"/>
          <cell r="LG35"/>
          <cell r="LH35"/>
          <cell r="LI35"/>
          <cell r="LJ35"/>
          <cell r="LK35"/>
          <cell r="LL35"/>
          <cell r="LM35"/>
          <cell r="LN35"/>
          <cell r="LO35"/>
        </row>
        <row r="36">
          <cell r="A36" t="str">
            <v>1C5</v>
          </cell>
          <cell r="B36" t="str">
            <v>36</v>
          </cell>
          <cell r="C36" t="str">
            <v>NAF 17</v>
          </cell>
          <cell r="D36" t="str">
            <v>C5</v>
          </cell>
          <cell r="E36" t="str">
            <v>1</v>
          </cell>
          <cell r="F36">
            <v>0</v>
          </cell>
          <cell r="G36">
            <v>11.700000000000001</v>
          </cell>
          <cell r="H36">
            <v>39.4</v>
          </cell>
          <cell r="I36">
            <v>38.5</v>
          </cell>
          <cell r="J36">
            <v>10.5</v>
          </cell>
          <cell r="K36">
            <v>78.2</v>
          </cell>
          <cell r="L36">
            <v>5</v>
          </cell>
          <cell r="M36">
            <v>10.9</v>
          </cell>
          <cell r="N36">
            <v>6</v>
          </cell>
          <cell r="O36">
            <v>21.099999999999998</v>
          </cell>
          <cell r="P36">
            <v>19.100000000000001</v>
          </cell>
          <cell r="Q36">
            <v>28.299999999999997</v>
          </cell>
          <cell r="R36">
            <v>4.5</v>
          </cell>
          <cell r="S36">
            <v>14.299999999999999</v>
          </cell>
          <cell r="T36">
            <v>54.2</v>
          </cell>
          <cell r="U36">
            <v>4.3</v>
          </cell>
          <cell r="V36">
            <v>12.5</v>
          </cell>
          <cell r="W36">
            <v>10.199999999999999</v>
          </cell>
          <cell r="X36">
            <v>84.899999999999991</v>
          </cell>
          <cell r="Y36">
            <v>4.9000000000000004</v>
          </cell>
          <cell r="Z36" t="str">
            <v>nd</v>
          </cell>
          <cell r="AA36">
            <v>37.4</v>
          </cell>
          <cell r="AB36">
            <v>34.1</v>
          </cell>
          <cell r="AC36">
            <v>41.8</v>
          </cell>
          <cell r="AD36">
            <v>23.1</v>
          </cell>
          <cell r="AE36">
            <v>39.5</v>
          </cell>
          <cell r="AF36">
            <v>60.5</v>
          </cell>
          <cell r="AG36">
            <v>22.900000000000002</v>
          </cell>
          <cell r="AH36">
            <v>77.100000000000009</v>
          </cell>
          <cell r="AI36">
            <v>74.8</v>
          </cell>
          <cell r="AJ36" t="str">
            <v>nd</v>
          </cell>
          <cell r="AK36" t="str">
            <v>nd</v>
          </cell>
          <cell r="AL36">
            <v>14.7</v>
          </cell>
          <cell r="AM36">
            <v>7.5</v>
          </cell>
          <cell r="AN36" t="str">
            <v>nd</v>
          </cell>
          <cell r="AO36" t="str">
            <v>nd</v>
          </cell>
          <cell r="AP36" t="str">
            <v>nd</v>
          </cell>
          <cell r="AQ36">
            <v>91.7</v>
          </cell>
          <cell r="AR36" t="str">
            <v>nd</v>
          </cell>
          <cell r="AS36">
            <v>83.1</v>
          </cell>
          <cell r="AT36">
            <v>8.9</v>
          </cell>
          <cell r="AU36">
            <v>2.6</v>
          </cell>
          <cell r="AV36">
            <v>2.4</v>
          </cell>
          <cell r="AW36" t="str">
            <v>nd</v>
          </cell>
          <cell r="AX36">
            <v>1.9</v>
          </cell>
          <cell r="AY36" t="str">
            <v>nd</v>
          </cell>
          <cell r="AZ36" t="str">
            <v>nd</v>
          </cell>
          <cell r="BA36">
            <v>0</v>
          </cell>
          <cell r="BB36">
            <v>3.8</v>
          </cell>
          <cell r="BC36">
            <v>13.600000000000001</v>
          </cell>
          <cell r="BD36">
            <v>81.8</v>
          </cell>
          <cell r="BE36">
            <v>1.5</v>
          </cell>
          <cell r="BF36">
            <v>1.6</v>
          </cell>
          <cell r="BG36">
            <v>3.2</v>
          </cell>
          <cell r="BH36">
            <v>7.7</v>
          </cell>
          <cell r="BI36">
            <v>15.2</v>
          </cell>
          <cell r="BJ36">
            <v>70.899999999999991</v>
          </cell>
          <cell r="BK36">
            <v>0</v>
          </cell>
          <cell r="BL36" t="str">
            <v>nd</v>
          </cell>
          <cell r="BM36">
            <v>0</v>
          </cell>
          <cell r="BN36">
            <v>7.3999999999999995</v>
          </cell>
          <cell r="BO36">
            <v>37.4</v>
          </cell>
          <cell r="BP36">
            <v>54.2</v>
          </cell>
          <cell r="BQ36">
            <v>0</v>
          </cell>
          <cell r="BR36">
            <v>0</v>
          </cell>
          <cell r="BS36" t="str">
            <v>nd</v>
          </cell>
          <cell r="BT36">
            <v>4.3</v>
          </cell>
          <cell r="BU36">
            <v>26.700000000000003</v>
          </cell>
          <cell r="BV36">
            <v>68.600000000000009</v>
          </cell>
          <cell r="BW36">
            <v>0</v>
          </cell>
          <cell r="BX36">
            <v>0</v>
          </cell>
          <cell r="BY36">
            <v>0</v>
          </cell>
          <cell r="BZ36">
            <v>0</v>
          </cell>
          <cell r="CA36">
            <v>1.3</v>
          </cell>
          <cell r="CB36">
            <v>98.7</v>
          </cell>
          <cell r="CC36">
            <v>9</v>
          </cell>
          <cell r="CD36">
            <v>4.1000000000000005</v>
          </cell>
          <cell r="CE36" t="str">
            <v>nd</v>
          </cell>
          <cell r="CF36">
            <v>5.3</v>
          </cell>
          <cell r="CG36" t="str">
            <v>nd</v>
          </cell>
          <cell r="CH36">
            <v>16.8</v>
          </cell>
          <cell r="CI36">
            <v>9.9</v>
          </cell>
          <cell r="CJ36">
            <v>74.3</v>
          </cell>
          <cell r="CK36">
            <v>22.2</v>
          </cell>
          <cell r="CL36">
            <v>0</v>
          </cell>
          <cell r="CM36" t="str">
            <v>nd</v>
          </cell>
          <cell r="CN36">
            <v>0</v>
          </cell>
          <cell r="CO36">
            <v>73.400000000000006</v>
          </cell>
          <cell r="CP36">
            <v>24.8</v>
          </cell>
          <cell r="CQ36">
            <v>39.4</v>
          </cell>
          <cell r="CR36">
            <v>12.2</v>
          </cell>
          <cell r="CS36">
            <v>23.599999999999998</v>
          </cell>
          <cell r="CT36">
            <v>3.5000000000000004</v>
          </cell>
          <cell r="CU36">
            <v>96.5</v>
          </cell>
          <cell r="CV36">
            <v>14.899999999999999</v>
          </cell>
          <cell r="CW36">
            <v>85.1</v>
          </cell>
          <cell r="CX36">
            <v>15.5</v>
          </cell>
          <cell r="CY36">
            <v>33.5</v>
          </cell>
          <cell r="CZ36">
            <v>51</v>
          </cell>
          <cell r="DA36">
            <v>26</v>
          </cell>
          <cell r="DB36">
            <v>9.3000000000000007</v>
          </cell>
          <cell r="DC36">
            <v>15.299999999999999</v>
          </cell>
          <cell r="DD36">
            <v>0</v>
          </cell>
          <cell r="DE36">
            <v>54.7</v>
          </cell>
          <cell r="DF36">
            <v>17.599999999999998</v>
          </cell>
          <cell r="DG36">
            <v>4.3999999999999995</v>
          </cell>
          <cell r="DH36">
            <v>10.100000000000001</v>
          </cell>
          <cell r="DI36">
            <v>16.900000000000002</v>
          </cell>
          <cell r="DJ36">
            <v>20.399999999999999</v>
          </cell>
          <cell r="DK36">
            <v>30.599999999999998</v>
          </cell>
          <cell r="DL36">
            <v>16.400000000000002</v>
          </cell>
          <cell r="DM36">
            <v>57.599999999999994</v>
          </cell>
          <cell r="DN36">
            <v>3.4000000000000004</v>
          </cell>
          <cell r="DO36">
            <v>12.2</v>
          </cell>
          <cell r="DP36">
            <v>2.4</v>
          </cell>
          <cell r="DQ36">
            <v>0</v>
          </cell>
          <cell r="DR36">
            <v>19.7</v>
          </cell>
          <cell r="DS36">
            <v>5.2</v>
          </cell>
          <cell r="DT36">
            <v>15.4</v>
          </cell>
          <cell r="DU36">
            <v>0</v>
          </cell>
          <cell r="DV36">
            <v>0</v>
          </cell>
          <cell r="DW36">
            <v>0</v>
          </cell>
          <cell r="DX36">
            <v>0</v>
          </cell>
          <cell r="DY36">
            <v>0</v>
          </cell>
          <cell r="DZ36">
            <v>8.1707435999999998</v>
          </cell>
          <cell r="EA36">
            <v>3.5135300000000003</v>
          </cell>
          <cell r="EB36">
            <v>0</v>
          </cell>
          <cell r="EC36" t="str">
            <v>nd</v>
          </cell>
          <cell r="ED36">
            <v>0</v>
          </cell>
          <cell r="EE36">
            <v>0</v>
          </cell>
          <cell r="EF36">
            <v>29.165491400000001</v>
          </cell>
          <cell r="EG36">
            <v>4.4532600000000002</v>
          </cell>
          <cell r="EH36">
            <v>2.31311</v>
          </cell>
          <cell r="EI36" t="str">
            <v>nd</v>
          </cell>
          <cell r="EJ36">
            <v>0</v>
          </cell>
          <cell r="EK36" t="str">
            <v>nd</v>
          </cell>
          <cell r="EL36">
            <v>35.769189799999999</v>
          </cell>
          <cell r="EM36" t="str">
            <v>nd</v>
          </cell>
          <cell r="EN36" t="str">
            <v>nd</v>
          </cell>
          <cell r="EO36" t="str">
            <v>nd</v>
          </cell>
          <cell r="EP36" t="str">
            <v>nd</v>
          </cell>
          <cell r="EQ36">
            <v>1.1089</v>
          </cell>
          <cell r="ER36">
            <v>9.9853405000000013</v>
          </cell>
          <cell r="ES36">
            <v>0</v>
          </cell>
          <cell r="ET36">
            <v>0</v>
          </cell>
          <cell r="EU36" t="str">
            <v>nd</v>
          </cell>
          <cell r="EV36">
            <v>0</v>
          </cell>
          <cell r="EW36">
            <v>0</v>
          </cell>
          <cell r="EX36">
            <v>0</v>
          </cell>
          <cell r="EY36">
            <v>0</v>
          </cell>
          <cell r="EZ36">
            <v>0</v>
          </cell>
          <cell r="FA36">
            <v>0</v>
          </cell>
          <cell r="FB36">
            <v>0</v>
          </cell>
          <cell r="FC36">
            <v>0</v>
          </cell>
          <cell r="FD36">
            <v>0</v>
          </cell>
          <cell r="FE36">
            <v>0</v>
          </cell>
          <cell r="FF36" t="str">
            <v>nd</v>
          </cell>
          <cell r="FG36">
            <v>3.0059099999999996</v>
          </cell>
          <cell r="FH36">
            <v>6.3783627999999997</v>
          </cell>
          <cell r="FI36" t="str">
            <v>nd</v>
          </cell>
          <cell r="FJ36" t="str">
            <v>nd</v>
          </cell>
          <cell r="FK36">
            <v>0</v>
          </cell>
          <cell r="FL36" t="str">
            <v>nd</v>
          </cell>
          <cell r="FM36">
            <v>6.4333901999999998</v>
          </cell>
          <cell r="FN36">
            <v>28.162252900000002</v>
          </cell>
          <cell r="FO36">
            <v>0</v>
          </cell>
          <cell r="FP36">
            <v>0</v>
          </cell>
          <cell r="FQ36">
            <v>0</v>
          </cell>
          <cell r="FR36" t="str">
            <v>nd</v>
          </cell>
          <cell r="FS36">
            <v>2.3048800000000003</v>
          </cell>
          <cell r="FT36">
            <v>38.199482099999997</v>
          </cell>
          <cell r="FU36">
            <v>0</v>
          </cell>
          <cell r="FV36">
            <v>0</v>
          </cell>
          <cell r="FW36">
            <v>0</v>
          </cell>
          <cell r="FX36" t="str">
            <v>nd</v>
          </cell>
          <cell r="FY36">
            <v>1.8634499999999998</v>
          </cell>
          <cell r="FZ36">
            <v>9.1019097000000002</v>
          </cell>
          <cell r="GA36">
            <v>0</v>
          </cell>
          <cell r="GB36">
            <v>0</v>
          </cell>
          <cell r="GC36">
            <v>0</v>
          </cell>
          <cell r="GD36">
            <v>0</v>
          </cell>
          <cell r="GE36">
            <v>0</v>
          </cell>
          <cell r="GF36">
            <v>1.0462400000000001</v>
          </cell>
          <cell r="GG36" t="str">
            <v>nd</v>
          </cell>
          <cell r="GH36" t="str">
            <v>nd</v>
          </cell>
          <cell r="GI36">
            <v>2.5707100000000001</v>
          </cell>
          <cell r="GJ36">
            <v>3.03966</v>
          </cell>
          <cell r="GK36">
            <v>3.8313000000000001</v>
          </cell>
          <cell r="GL36" t="str">
            <v>nd</v>
          </cell>
          <cell r="GM36" t="str">
            <v>nd</v>
          </cell>
          <cell r="GN36">
            <v>2.7787800000000002</v>
          </cell>
          <cell r="GO36">
            <v>3.1682299999999994</v>
          </cell>
          <cell r="GP36">
            <v>8.6362255999999995</v>
          </cell>
          <cell r="GQ36">
            <v>20.607091199999999</v>
          </cell>
          <cell r="GR36">
            <v>0</v>
          </cell>
          <cell r="GS36">
            <v>0</v>
          </cell>
          <cell r="GT36">
            <v>0</v>
          </cell>
          <cell r="GU36" t="str">
            <v>nd</v>
          </cell>
          <cell r="GV36">
            <v>3.04677</v>
          </cell>
          <cell r="GW36">
            <v>35.9560368</v>
          </cell>
          <cell r="GX36">
            <v>0</v>
          </cell>
          <cell r="GY36">
            <v>0</v>
          </cell>
          <cell r="GZ36">
            <v>0</v>
          </cell>
          <cell r="HA36">
            <v>0</v>
          </cell>
          <cell r="HB36" t="str">
            <v>nd</v>
          </cell>
          <cell r="HC36">
            <v>10.529084900000001</v>
          </cell>
          <cell r="HD36">
            <v>0</v>
          </cell>
          <cell r="HE36">
            <v>0</v>
          </cell>
          <cell r="HF36">
            <v>0</v>
          </cell>
          <cell r="HG36">
            <v>0</v>
          </cell>
          <cell r="HH36">
            <v>0</v>
          </cell>
          <cell r="HI36">
            <v>0</v>
          </cell>
          <cell r="HJ36">
            <v>0</v>
          </cell>
          <cell r="HK36">
            <v>0</v>
          </cell>
          <cell r="HL36">
            <v>0</v>
          </cell>
          <cell r="HM36">
            <v>3.2866899999999997</v>
          </cell>
          <cell r="HN36">
            <v>8.1999423999999994</v>
          </cell>
          <cell r="HO36">
            <v>0</v>
          </cell>
          <cell r="HP36">
            <v>0</v>
          </cell>
          <cell r="HQ36">
            <v>0</v>
          </cell>
          <cell r="HR36" t="str">
            <v>nd</v>
          </cell>
          <cell r="HS36">
            <v>20.142341899999998</v>
          </cell>
          <cell r="HT36">
            <v>13.243626299999999</v>
          </cell>
          <cell r="HU36">
            <v>0</v>
          </cell>
          <cell r="HV36" t="str">
            <v>nd</v>
          </cell>
          <cell r="HW36">
            <v>0</v>
          </cell>
          <cell r="HX36">
            <v>3.4588099999999997</v>
          </cell>
          <cell r="HY36">
            <v>11.2797448</v>
          </cell>
          <cell r="HZ36">
            <v>25.115703400000001</v>
          </cell>
          <cell r="IA36">
            <v>0</v>
          </cell>
          <cell r="IB36">
            <v>0</v>
          </cell>
          <cell r="IC36">
            <v>0</v>
          </cell>
          <cell r="ID36" t="str">
            <v>nd</v>
          </cell>
          <cell r="IE36">
            <v>2.67577</v>
          </cell>
          <cell r="IF36">
            <v>7.6663875000000008</v>
          </cell>
          <cell r="IG36">
            <v>0</v>
          </cell>
          <cell r="IH36">
            <v>0</v>
          </cell>
          <cell r="II36">
            <v>0</v>
          </cell>
          <cell r="IJ36">
            <v>0</v>
          </cell>
          <cell r="IK36">
            <v>0</v>
          </cell>
          <cell r="IL36">
            <v>0</v>
          </cell>
          <cell r="IM36">
            <v>0</v>
          </cell>
          <cell r="IN36">
            <v>0</v>
          </cell>
          <cell r="IO36" t="str">
            <v>nd</v>
          </cell>
          <cell r="IP36">
            <v>5.1652200000000006</v>
          </cell>
          <cell r="IQ36">
            <v>5.5432399999999999</v>
          </cell>
          <cell r="IR36">
            <v>0</v>
          </cell>
          <cell r="IS36">
            <v>0</v>
          </cell>
          <cell r="IT36" t="str">
            <v>nd</v>
          </cell>
          <cell r="IU36">
            <v>1.69347</v>
          </cell>
          <cell r="IV36">
            <v>12.022740599999999</v>
          </cell>
          <cell r="IW36">
            <v>21.458949</v>
          </cell>
          <cell r="IX36">
            <v>0</v>
          </cell>
          <cell r="IY36">
            <v>0</v>
          </cell>
          <cell r="IZ36">
            <v>0</v>
          </cell>
          <cell r="JA36" t="str">
            <v>nd</v>
          </cell>
          <cell r="JB36">
            <v>7.1682064000000008</v>
          </cell>
          <cell r="JC36">
            <v>33.418966400000002</v>
          </cell>
          <cell r="JD36">
            <v>0</v>
          </cell>
          <cell r="JE36">
            <v>0</v>
          </cell>
          <cell r="JF36">
            <v>0</v>
          </cell>
          <cell r="JG36">
            <v>0</v>
          </cell>
          <cell r="JH36" t="str">
            <v>nd</v>
          </cell>
          <cell r="JI36">
            <v>8.2109221999999988</v>
          </cell>
          <cell r="JJ36">
            <v>0</v>
          </cell>
          <cell r="JK36">
            <v>0</v>
          </cell>
          <cell r="JL36">
            <v>0</v>
          </cell>
          <cell r="JM36">
            <v>0</v>
          </cell>
          <cell r="JN36">
            <v>0</v>
          </cell>
          <cell r="JO36">
            <v>0</v>
          </cell>
          <cell r="JP36">
            <v>0</v>
          </cell>
          <cell r="JQ36">
            <v>0</v>
          </cell>
          <cell r="JR36">
            <v>0</v>
          </cell>
          <cell r="JS36">
            <v>0</v>
          </cell>
          <cell r="JT36">
            <v>11.217981699999999</v>
          </cell>
          <cell r="JU36">
            <v>0</v>
          </cell>
          <cell r="JV36">
            <v>0</v>
          </cell>
          <cell r="JW36">
            <v>0</v>
          </cell>
          <cell r="JX36">
            <v>0</v>
          </cell>
          <cell r="JY36" t="str">
            <v>nd</v>
          </cell>
          <cell r="JZ36">
            <v>34.685535799999997</v>
          </cell>
          <cell r="KA36">
            <v>0</v>
          </cell>
          <cell r="KB36">
            <v>0</v>
          </cell>
          <cell r="KC36">
            <v>0</v>
          </cell>
          <cell r="KD36">
            <v>0</v>
          </cell>
          <cell r="KE36">
            <v>0</v>
          </cell>
          <cell r="KF36">
            <v>42.350475199999998</v>
          </cell>
          <cell r="KG36">
            <v>0</v>
          </cell>
          <cell r="KH36">
            <v>0</v>
          </cell>
          <cell r="KI36">
            <v>0</v>
          </cell>
          <cell r="KJ36">
            <v>0</v>
          </cell>
          <cell r="KK36" t="str">
            <v>nd</v>
          </cell>
          <cell r="KL36">
            <v>10.483189399999999</v>
          </cell>
          <cell r="KM36">
            <v>84.399999999999991</v>
          </cell>
          <cell r="KN36">
            <v>1.7000000000000002</v>
          </cell>
          <cell r="KO36">
            <v>7.0000000000000009</v>
          </cell>
          <cell r="KP36">
            <v>3.5000000000000004</v>
          </cell>
          <cell r="KQ36">
            <v>3.3000000000000003</v>
          </cell>
          <cell r="KR36">
            <v>0.1</v>
          </cell>
          <cell r="KS36">
            <v>83.5</v>
          </cell>
          <cell r="KT36">
            <v>1.9</v>
          </cell>
          <cell r="KU36">
            <v>7.3</v>
          </cell>
          <cell r="KV36">
            <v>3.8</v>
          </cell>
          <cell r="KW36">
            <v>3.4000000000000004</v>
          </cell>
          <cell r="KX36">
            <v>0.1</v>
          </cell>
          <cell r="KY36"/>
          <cell r="KZ36"/>
          <cell r="LA36"/>
          <cell r="LB36"/>
          <cell r="LC36"/>
          <cell r="LD36"/>
          <cell r="LE36"/>
          <cell r="LF36"/>
          <cell r="LG36"/>
          <cell r="LH36"/>
          <cell r="LI36"/>
          <cell r="LJ36"/>
          <cell r="LK36"/>
          <cell r="LL36"/>
          <cell r="LM36"/>
          <cell r="LN36"/>
          <cell r="LO36"/>
        </row>
        <row r="37">
          <cell r="A37" t="str">
            <v>2C5</v>
          </cell>
          <cell r="B37" t="str">
            <v>37</v>
          </cell>
          <cell r="C37" t="str">
            <v>NAF 17</v>
          </cell>
          <cell r="D37" t="str">
            <v>C5</v>
          </cell>
          <cell r="E37" t="str">
            <v>2</v>
          </cell>
          <cell r="F37" t="str">
            <v>nd</v>
          </cell>
          <cell r="G37">
            <v>8.5</v>
          </cell>
          <cell r="H37">
            <v>41.699999999999996</v>
          </cell>
          <cell r="I37">
            <v>37.799999999999997</v>
          </cell>
          <cell r="J37">
            <v>11.799999999999999</v>
          </cell>
          <cell r="K37">
            <v>79.600000000000009</v>
          </cell>
          <cell r="L37">
            <v>6.1</v>
          </cell>
          <cell r="M37">
            <v>10.9</v>
          </cell>
          <cell r="N37">
            <v>3.4000000000000004</v>
          </cell>
          <cell r="O37">
            <v>26.6</v>
          </cell>
          <cell r="P37">
            <v>14.299999999999999</v>
          </cell>
          <cell r="Q37">
            <v>22.8</v>
          </cell>
          <cell r="R37">
            <v>8.6</v>
          </cell>
          <cell r="S37">
            <v>12.2</v>
          </cell>
          <cell r="T37">
            <v>50.8</v>
          </cell>
          <cell r="U37">
            <v>2.6</v>
          </cell>
          <cell r="V37">
            <v>15.6</v>
          </cell>
          <cell r="W37">
            <v>14.000000000000002</v>
          </cell>
          <cell r="X37">
            <v>83.899999999999991</v>
          </cell>
          <cell r="Y37">
            <v>2.1</v>
          </cell>
          <cell r="Z37">
            <v>14.799999999999999</v>
          </cell>
          <cell r="AA37">
            <v>40.699999999999996</v>
          </cell>
          <cell r="AB37">
            <v>20.7</v>
          </cell>
          <cell r="AC37">
            <v>22.2</v>
          </cell>
          <cell r="AD37">
            <v>25.900000000000002</v>
          </cell>
          <cell r="AE37">
            <v>49.9</v>
          </cell>
          <cell r="AF37">
            <v>50.1</v>
          </cell>
          <cell r="AG37">
            <v>46.2</v>
          </cell>
          <cell r="AH37">
            <v>53.800000000000004</v>
          </cell>
          <cell r="AI37">
            <v>71.899999999999991</v>
          </cell>
          <cell r="AJ37" t="str">
            <v>nd</v>
          </cell>
          <cell r="AK37">
            <v>2.4</v>
          </cell>
          <cell r="AL37">
            <v>21</v>
          </cell>
          <cell r="AM37">
            <v>3.2</v>
          </cell>
          <cell r="AN37">
            <v>8.9</v>
          </cell>
          <cell r="AO37" t="str">
            <v>nd</v>
          </cell>
          <cell r="AP37">
            <v>2.6</v>
          </cell>
          <cell r="AQ37">
            <v>87.1</v>
          </cell>
          <cell r="AR37" t="str">
            <v>nd</v>
          </cell>
          <cell r="AS37">
            <v>68.2</v>
          </cell>
          <cell r="AT37">
            <v>13.4</v>
          </cell>
          <cell r="AU37">
            <v>2.9000000000000004</v>
          </cell>
          <cell r="AV37">
            <v>3.4000000000000004</v>
          </cell>
          <cell r="AW37">
            <v>4.5</v>
          </cell>
          <cell r="AX37">
            <v>7.7</v>
          </cell>
          <cell r="AY37">
            <v>1.4000000000000001</v>
          </cell>
          <cell r="AZ37" t="str">
            <v>nd</v>
          </cell>
          <cell r="BA37">
            <v>0.6</v>
          </cell>
          <cell r="BB37">
            <v>3.8</v>
          </cell>
          <cell r="BC37">
            <v>35.099999999999994</v>
          </cell>
          <cell r="BD37">
            <v>58.8</v>
          </cell>
          <cell r="BE37" t="str">
            <v>nd</v>
          </cell>
          <cell r="BF37" t="str">
            <v>nd</v>
          </cell>
          <cell r="BG37">
            <v>2.5</v>
          </cell>
          <cell r="BH37">
            <v>6.2</v>
          </cell>
          <cell r="BI37">
            <v>23.3</v>
          </cell>
          <cell r="BJ37">
            <v>67</v>
          </cell>
          <cell r="BK37" t="str">
            <v>nd</v>
          </cell>
          <cell r="BL37">
            <v>0</v>
          </cell>
          <cell r="BM37" t="str">
            <v>nd</v>
          </cell>
          <cell r="BN37">
            <v>11.799999999999999</v>
          </cell>
          <cell r="BO37">
            <v>56.100000000000009</v>
          </cell>
          <cell r="BP37">
            <v>30.4</v>
          </cell>
          <cell r="BQ37">
            <v>0</v>
          </cell>
          <cell r="BR37">
            <v>0</v>
          </cell>
          <cell r="BS37" t="str">
            <v>nd</v>
          </cell>
          <cell r="BT37">
            <v>3.8</v>
          </cell>
          <cell r="BU37">
            <v>41.9</v>
          </cell>
          <cell r="BV37">
            <v>53.300000000000004</v>
          </cell>
          <cell r="BW37">
            <v>0</v>
          </cell>
          <cell r="BX37">
            <v>0</v>
          </cell>
          <cell r="BY37" t="str">
            <v>nd</v>
          </cell>
          <cell r="BZ37">
            <v>0</v>
          </cell>
          <cell r="CA37">
            <v>1.6</v>
          </cell>
          <cell r="CB37">
            <v>98.1</v>
          </cell>
          <cell r="CC37">
            <v>17.899999999999999</v>
          </cell>
          <cell r="CD37">
            <v>12.1</v>
          </cell>
          <cell r="CE37">
            <v>2.9000000000000004</v>
          </cell>
          <cell r="CF37">
            <v>4.5999999999999996</v>
          </cell>
          <cell r="CG37" t="str">
            <v>nd</v>
          </cell>
          <cell r="CH37">
            <v>19.5</v>
          </cell>
          <cell r="CI37">
            <v>11.600000000000001</v>
          </cell>
          <cell r="CJ37">
            <v>61.7</v>
          </cell>
          <cell r="CK37">
            <v>33.6</v>
          </cell>
          <cell r="CL37">
            <v>3.3000000000000003</v>
          </cell>
          <cell r="CM37">
            <v>1</v>
          </cell>
          <cell r="CN37">
            <v>1.6</v>
          </cell>
          <cell r="CO37">
            <v>64.8</v>
          </cell>
          <cell r="CP37">
            <v>24.7</v>
          </cell>
          <cell r="CQ37">
            <v>34.799999999999997</v>
          </cell>
          <cell r="CR37">
            <v>9.6</v>
          </cell>
          <cell r="CS37">
            <v>30.9</v>
          </cell>
          <cell r="CT37">
            <v>9.8000000000000007</v>
          </cell>
          <cell r="CU37">
            <v>90.2</v>
          </cell>
          <cell r="CV37">
            <v>12.2</v>
          </cell>
          <cell r="CW37">
            <v>87.8</v>
          </cell>
          <cell r="CX37">
            <v>13</v>
          </cell>
          <cell r="CY37">
            <v>37.799999999999997</v>
          </cell>
          <cell r="CZ37">
            <v>49.1</v>
          </cell>
          <cell r="DA37">
            <v>14.899999999999999</v>
          </cell>
          <cell r="DB37">
            <v>15.7</v>
          </cell>
          <cell r="DC37">
            <v>16.5</v>
          </cell>
          <cell r="DD37" t="str">
            <v>nd</v>
          </cell>
          <cell r="DE37">
            <v>56.2</v>
          </cell>
          <cell r="DF37">
            <v>14.299999999999999</v>
          </cell>
          <cell r="DG37">
            <v>6</v>
          </cell>
          <cell r="DH37">
            <v>16.3</v>
          </cell>
          <cell r="DI37">
            <v>13.600000000000001</v>
          </cell>
          <cell r="DJ37">
            <v>24.7</v>
          </cell>
          <cell r="DK37">
            <v>25.1</v>
          </cell>
          <cell r="DL37">
            <v>21.4</v>
          </cell>
          <cell r="DM37">
            <v>54.900000000000006</v>
          </cell>
          <cell r="DN37">
            <v>4.3999999999999995</v>
          </cell>
          <cell r="DO37">
            <v>11.3</v>
          </cell>
          <cell r="DP37">
            <v>4</v>
          </cell>
          <cell r="DQ37" t="str">
            <v>nd</v>
          </cell>
          <cell r="DR37">
            <v>16.100000000000001</v>
          </cell>
          <cell r="DS37">
            <v>8</v>
          </cell>
          <cell r="DT37">
            <v>10.5</v>
          </cell>
          <cell r="DU37">
            <v>0</v>
          </cell>
          <cell r="DV37">
            <v>0</v>
          </cell>
          <cell r="DW37" t="str">
            <v>nd</v>
          </cell>
          <cell r="DX37">
            <v>0</v>
          </cell>
          <cell r="DY37">
            <v>0</v>
          </cell>
          <cell r="DZ37">
            <v>3.1304600000000002</v>
          </cell>
          <cell r="EA37">
            <v>2.8060800000000001</v>
          </cell>
          <cell r="EB37">
            <v>2.6969599999999998</v>
          </cell>
          <cell r="EC37">
            <v>0</v>
          </cell>
          <cell r="ED37">
            <v>0</v>
          </cell>
          <cell r="EE37">
            <v>0</v>
          </cell>
          <cell r="EF37">
            <v>27.925370500000003</v>
          </cell>
          <cell r="EG37">
            <v>6.5251096999999998</v>
          </cell>
          <cell r="EH37" t="str">
            <v>nd</v>
          </cell>
          <cell r="EI37">
            <v>2.8405300000000002</v>
          </cell>
          <cell r="EJ37">
            <v>2.8808799999999999</v>
          </cell>
          <cell r="EK37">
            <v>2.2953800000000002</v>
          </cell>
          <cell r="EL37">
            <v>27.717556999999999</v>
          </cell>
          <cell r="EM37">
            <v>2.7968999999999999</v>
          </cell>
          <cell r="EN37">
            <v>0</v>
          </cell>
          <cell r="EO37" t="str">
            <v>nd</v>
          </cell>
          <cell r="EP37">
            <v>1.5713499999999998</v>
          </cell>
          <cell r="EQ37">
            <v>4.2564099999999998</v>
          </cell>
          <cell r="ER37">
            <v>9.4347320000000003</v>
          </cell>
          <cell r="ES37">
            <v>1.22438</v>
          </cell>
          <cell r="ET37">
            <v>0</v>
          </cell>
          <cell r="EU37">
            <v>0</v>
          </cell>
          <cell r="EV37">
            <v>0</v>
          </cell>
          <cell r="EW37" t="str">
            <v>nd</v>
          </cell>
          <cell r="EX37">
            <v>0</v>
          </cell>
          <cell r="EY37">
            <v>0</v>
          </cell>
          <cell r="EZ37" t="str">
            <v>nd</v>
          </cell>
          <cell r="FA37">
            <v>0</v>
          </cell>
          <cell r="FB37">
            <v>0</v>
          </cell>
          <cell r="FC37">
            <v>0</v>
          </cell>
          <cell r="FD37">
            <v>0</v>
          </cell>
          <cell r="FE37" t="str">
            <v>nd</v>
          </cell>
          <cell r="FF37" t="str">
            <v>nd</v>
          </cell>
          <cell r="FG37">
            <v>3.6316800000000002</v>
          </cell>
          <cell r="FH37">
            <v>2.8145600000000002</v>
          </cell>
          <cell r="FI37" t="str">
            <v>nd</v>
          </cell>
          <cell r="FJ37" t="str">
            <v>nd</v>
          </cell>
          <cell r="FK37" t="str">
            <v>nd</v>
          </cell>
          <cell r="FL37">
            <v>1.2791999999999999</v>
          </cell>
          <cell r="FM37">
            <v>16.8119616</v>
          </cell>
          <cell r="FN37">
            <v>23.0497482</v>
          </cell>
          <cell r="FO37" t="str">
            <v>nd</v>
          </cell>
          <cell r="FP37">
            <v>0</v>
          </cell>
          <cell r="FQ37">
            <v>0</v>
          </cell>
          <cell r="FR37">
            <v>0.8089900000000001</v>
          </cell>
          <cell r="FS37">
            <v>9.4540962999999998</v>
          </cell>
          <cell r="FT37">
            <v>27.169550999999998</v>
          </cell>
          <cell r="FU37">
            <v>0</v>
          </cell>
          <cell r="FV37">
            <v>0</v>
          </cell>
          <cell r="FW37">
            <v>0</v>
          </cell>
          <cell r="FX37" t="str">
            <v>nd</v>
          </cell>
          <cell r="FY37">
            <v>5.2189899999999998</v>
          </cell>
          <cell r="FZ37">
            <v>5.7745499999999996</v>
          </cell>
          <cell r="GA37">
            <v>0</v>
          </cell>
          <cell r="GB37">
            <v>0</v>
          </cell>
          <cell r="GC37">
            <v>0</v>
          </cell>
          <cell r="GD37" t="str">
            <v>nd</v>
          </cell>
          <cell r="GE37">
            <v>0</v>
          </cell>
          <cell r="GF37">
            <v>0</v>
          </cell>
          <cell r="GG37" t="str">
            <v>nd</v>
          </cell>
          <cell r="GH37">
            <v>1.7334499999999999</v>
          </cell>
          <cell r="GI37">
            <v>1.2489600000000001</v>
          </cell>
          <cell r="GJ37">
            <v>3.2285399999999997</v>
          </cell>
          <cell r="GK37">
            <v>2.0824199999999999</v>
          </cell>
          <cell r="GL37" t="str">
            <v>nd</v>
          </cell>
          <cell r="GM37">
            <v>0</v>
          </cell>
          <cell r="GN37" t="str">
            <v>nd</v>
          </cell>
          <cell r="GO37">
            <v>4.8261000000000003</v>
          </cell>
          <cell r="GP37">
            <v>10.698769499999999</v>
          </cell>
          <cell r="GQ37">
            <v>25.651851100000002</v>
          </cell>
          <cell r="GR37">
            <v>0</v>
          </cell>
          <cell r="GS37">
            <v>0</v>
          </cell>
          <cell r="GT37">
            <v>0</v>
          </cell>
          <cell r="GU37">
            <v>0</v>
          </cell>
          <cell r="GV37">
            <v>5.9824900000000003</v>
          </cell>
          <cell r="GW37">
            <v>31.632529099999999</v>
          </cell>
          <cell r="GX37">
            <v>0</v>
          </cell>
          <cell r="GY37">
            <v>0</v>
          </cell>
          <cell r="GZ37">
            <v>0</v>
          </cell>
          <cell r="HA37">
            <v>0</v>
          </cell>
          <cell r="HB37">
            <v>3.4276</v>
          </cell>
          <cell r="HC37">
            <v>7.6170439000000005</v>
          </cell>
          <cell r="HD37">
            <v>0</v>
          </cell>
          <cell r="HE37">
            <v>0</v>
          </cell>
          <cell r="HF37">
            <v>0</v>
          </cell>
          <cell r="HG37">
            <v>0</v>
          </cell>
          <cell r="HH37" t="str">
            <v>nd</v>
          </cell>
          <cell r="HI37">
            <v>0</v>
          </cell>
          <cell r="HJ37">
            <v>0</v>
          </cell>
          <cell r="HK37">
            <v>0</v>
          </cell>
          <cell r="HL37">
            <v>1.9973500000000002</v>
          </cell>
          <cell r="HM37">
            <v>4.8609100000000005</v>
          </cell>
          <cell r="HN37">
            <v>1.79105</v>
          </cell>
          <cell r="HO37" t="str">
            <v>nd</v>
          </cell>
          <cell r="HP37">
            <v>0</v>
          </cell>
          <cell r="HQ37" t="str">
            <v>nd</v>
          </cell>
          <cell r="HR37">
            <v>5.8691599999999999</v>
          </cell>
          <cell r="HS37">
            <v>22.698815499999998</v>
          </cell>
          <cell r="HT37">
            <v>12.238129499999999</v>
          </cell>
          <cell r="HU37">
            <v>0</v>
          </cell>
          <cell r="HV37">
            <v>0</v>
          </cell>
          <cell r="HW37">
            <v>0</v>
          </cell>
          <cell r="HX37">
            <v>3.95574</v>
          </cell>
          <cell r="HY37">
            <v>20.984145300000002</v>
          </cell>
          <cell r="HZ37">
            <v>12.3911561</v>
          </cell>
          <cell r="IA37">
            <v>0</v>
          </cell>
          <cell r="IB37">
            <v>0</v>
          </cell>
          <cell r="IC37">
            <v>0</v>
          </cell>
          <cell r="ID37">
            <v>0</v>
          </cell>
          <cell r="IE37">
            <v>7.5202160000000005</v>
          </cell>
          <cell r="IF37">
            <v>3.8710599999999999</v>
          </cell>
          <cell r="IG37">
            <v>0</v>
          </cell>
          <cell r="IH37">
            <v>0</v>
          </cell>
          <cell r="II37">
            <v>0</v>
          </cell>
          <cell r="IJ37" t="str">
            <v>nd</v>
          </cell>
          <cell r="IK37">
            <v>0</v>
          </cell>
          <cell r="IL37">
            <v>0</v>
          </cell>
          <cell r="IM37">
            <v>0</v>
          </cell>
          <cell r="IN37">
            <v>0</v>
          </cell>
          <cell r="IO37" t="str">
            <v>nd</v>
          </cell>
          <cell r="IP37">
            <v>4.3120099999999999</v>
          </cell>
          <cell r="IQ37">
            <v>2.5797699999999999</v>
          </cell>
          <cell r="IR37">
            <v>0</v>
          </cell>
          <cell r="IS37">
            <v>0</v>
          </cell>
          <cell r="IT37" t="str">
            <v>nd</v>
          </cell>
          <cell r="IU37">
            <v>1.13225</v>
          </cell>
          <cell r="IV37">
            <v>18.564147899999998</v>
          </cell>
          <cell r="IW37">
            <v>22.030049600000002</v>
          </cell>
          <cell r="IX37">
            <v>0</v>
          </cell>
          <cell r="IY37">
            <v>0</v>
          </cell>
          <cell r="IZ37">
            <v>0</v>
          </cell>
          <cell r="JA37">
            <v>0</v>
          </cell>
          <cell r="JB37">
            <v>17.0348361</v>
          </cell>
          <cell r="JC37">
            <v>20.481078999999998</v>
          </cell>
          <cell r="JD37">
            <v>0</v>
          </cell>
          <cell r="JE37">
            <v>0</v>
          </cell>
          <cell r="JF37">
            <v>0</v>
          </cell>
          <cell r="JG37">
            <v>0.85016000000000003</v>
          </cell>
          <cell r="JH37">
            <v>1.9614400000000001</v>
          </cell>
          <cell r="JI37">
            <v>8.2171942999999992</v>
          </cell>
          <cell r="JJ37">
            <v>0</v>
          </cell>
          <cell r="JK37">
            <v>0</v>
          </cell>
          <cell r="JL37">
            <v>0</v>
          </cell>
          <cell r="JM37">
            <v>0</v>
          </cell>
          <cell r="JN37" t="str">
            <v>nd</v>
          </cell>
          <cell r="JO37">
            <v>0</v>
          </cell>
          <cell r="JP37">
            <v>0</v>
          </cell>
          <cell r="JQ37">
            <v>0</v>
          </cell>
          <cell r="JR37">
            <v>0</v>
          </cell>
          <cell r="JS37">
            <v>0</v>
          </cell>
          <cell r="JT37">
            <v>8.5887489000000006</v>
          </cell>
          <cell r="JU37">
            <v>0</v>
          </cell>
          <cell r="JV37">
            <v>0</v>
          </cell>
          <cell r="JW37" t="str">
            <v>nd</v>
          </cell>
          <cell r="JX37">
            <v>0</v>
          </cell>
          <cell r="JY37" t="str">
            <v>nd</v>
          </cell>
          <cell r="JZ37">
            <v>42.187341199999999</v>
          </cell>
          <cell r="KA37">
            <v>0</v>
          </cell>
          <cell r="KB37">
            <v>0</v>
          </cell>
          <cell r="KC37">
            <v>0</v>
          </cell>
          <cell r="KD37">
            <v>0</v>
          </cell>
          <cell r="KE37" t="str">
            <v>nd</v>
          </cell>
          <cell r="KF37">
            <v>36.658558400000004</v>
          </cell>
          <cell r="KG37">
            <v>0</v>
          </cell>
          <cell r="KH37">
            <v>0</v>
          </cell>
          <cell r="KI37">
            <v>0</v>
          </cell>
          <cell r="KJ37">
            <v>0</v>
          </cell>
          <cell r="KK37" t="str">
            <v>nd</v>
          </cell>
          <cell r="KL37">
            <v>10.5502129</v>
          </cell>
          <cell r="KM37">
            <v>76.8</v>
          </cell>
          <cell r="KN37">
            <v>5.3</v>
          </cell>
          <cell r="KO37">
            <v>4.5</v>
          </cell>
          <cell r="KP37">
            <v>8.6</v>
          </cell>
          <cell r="KQ37">
            <v>4.5</v>
          </cell>
          <cell r="KR37">
            <v>0.3</v>
          </cell>
          <cell r="KS37">
            <v>75.900000000000006</v>
          </cell>
          <cell r="KT37">
            <v>5.3</v>
          </cell>
          <cell r="KU37">
            <v>4.7</v>
          </cell>
          <cell r="KV37">
            <v>9.3000000000000007</v>
          </cell>
          <cell r="KW37">
            <v>4.5</v>
          </cell>
          <cell r="KX37">
            <v>0.2</v>
          </cell>
          <cell r="KY37"/>
          <cell r="KZ37"/>
          <cell r="LA37"/>
          <cell r="LB37"/>
          <cell r="LC37"/>
          <cell r="LD37"/>
          <cell r="LE37"/>
          <cell r="LF37"/>
          <cell r="LG37"/>
          <cell r="LH37"/>
          <cell r="LI37"/>
          <cell r="LJ37"/>
          <cell r="LK37"/>
          <cell r="LL37"/>
          <cell r="LM37"/>
          <cell r="LN37"/>
          <cell r="LO37"/>
        </row>
        <row r="38">
          <cell r="A38" t="str">
            <v>3C5</v>
          </cell>
          <cell r="B38" t="str">
            <v>38</v>
          </cell>
          <cell r="C38" t="str">
            <v>NAF 17</v>
          </cell>
          <cell r="D38" t="str">
            <v>C5</v>
          </cell>
          <cell r="E38" t="str">
            <v>3</v>
          </cell>
          <cell r="F38">
            <v>0</v>
          </cell>
          <cell r="G38">
            <v>14.399999999999999</v>
          </cell>
          <cell r="H38">
            <v>43.9</v>
          </cell>
          <cell r="I38">
            <v>29.799999999999997</v>
          </cell>
          <cell r="J38">
            <v>12</v>
          </cell>
          <cell r="K38">
            <v>79.400000000000006</v>
          </cell>
          <cell r="L38">
            <v>4.5</v>
          </cell>
          <cell r="M38">
            <v>11.4</v>
          </cell>
          <cell r="N38">
            <v>4.7</v>
          </cell>
          <cell r="O38">
            <v>33.700000000000003</v>
          </cell>
          <cell r="P38">
            <v>18.399999999999999</v>
          </cell>
          <cell r="Q38">
            <v>22.900000000000002</v>
          </cell>
          <cell r="R38">
            <v>9.5</v>
          </cell>
          <cell r="S38">
            <v>12</v>
          </cell>
          <cell r="T38">
            <v>49.7</v>
          </cell>
          <cell r="U38">
            <v>2.5</v>
          </cell>
          <cell r="V38">
            <v>20.5</v>
          </cell>
          <cell r="W38">
            <v>18.7</v>
          </cell>
          <cell r="X38">
            <v>74.599999999999994</v>
          </cell>
          <cell r="Y38">
            <v>6.7</v>
          </cell>
          <cell r="Z38">
            <v>26.700000000000003</v>
          </cell>
          <cell r="AA38">
            <v>31.8</v>
          </cell>
          <cell r="AB38">
            <v>25.6</v>
          </cell>
          <cell r="AC38">
            <v>39.800000000000004</v>
          </cell>
          <cell r="AD38">
            <v>28.4</v>
          </cell>
          <cell r="AE38">
            <v>68</v>
          </cell>
          <cell r="AF38">
            <v>32</v>
          </cell>
          <cell r="AG38">
            <v>56.499999999999993</v>
          </cell>
          <cell r="AH38">
            <v>43.5</v>
          </cell>
          <cell r="AI38">
            <v>60.699999999999996</v>
          </cell>
          <cell r="AJ38">
            <v>2.9000000000000004</v>
          </cell>
          <cell r="AK38">
            <v>5</v>
          </cell>
          <cell r="AL38">
            <v>26.8</v>
          </cell>
          <cell r="AM38">
            <v>4.5999999999999996</v>
          </cell>
          <cell r="AN38">
            <v>9.4</v>
          </cell>
          <cell r="AO38">
            <v>5.8999999999999995</v>
          </cell>
          <cell r="AP38">
            <v>2.8000000000000003</v>
          </cell>
          <cell r="AQ38">
            <v>78.8</v>
          </cell>
          <cell r="AR38">
            <v>3.1</v>
          </cell>
          <cell r="AS38">
            <v>63.1</v>
          </cell>
          <cell r="AT38">
            <v>23.3</v>
          </cell>
          <cell r="AU38">
            <v>5.0999999999999996</v>
          </cell>
          <cell r="AV38">
            <v>2.4</v>
          </cell>
          <cell r="AW38">
            <v>2.7</v>
          </cell>
          <cell r="AX38">
            <v>3.4000000000000004</v>
          </cell>
          <cell r="AY38" t="str">
            <v>nd</v>
          </cell>
          <cell r="AZ38">
            <v>1.9</v>
          </cell>
          <cell r="BA38">
            <v>1.5</v>
          </cell>
          <cell r="BB38">
            <v>9.3000000000000007</v>
          </cell>
          <cell r="BC38">
            <v>44.2</v>
          </cell>
          <cell r="BD38">
            <v>42.9</v>
          </cell>
          <cell r="BE38" t="str">
            <v>nd</v>
          </cell>
          <cell r="BF38">
            <v>2.1</v>
          </cell>
          <cell r="BG38">
            <v>4.5999999999999996</v>
          </cell>
          <cell r="BH38">
            <v>9.6</v>
          </cell>
          <cell r="BI38">
            <v>32.6</v>
          </cell>
          <cell r="BJ38">
            <v>49.7</v>
          </cell>
          <cell r="BK38">
            <v>0</v>
          </cell>
          <cell r="BL38">
            <v>0</v>
          </cell>
          <cell r="BM38" t="str">
            <v>nd</v>
          </cell>
          <cell r="BN38">
            <v>8.3000000000000007</v>
          </cell>
          <cell r="BO38">
            <v>73</v>
          </cell>
          <cell r="BP38">
            <v>18.5</v>
          </cell>
          <cell r="BQ38">
            <v>0</v>
          </cell>
          <cell r="BR38">
            <v>0</v>
          </cell>
          <cell r="BS38" t="str">
            <v>nd</v>
          </cell>
          <cell r="BT38">
            <v>6.5</v>
          </cell>
          <cell r="BU38">
            <v>51.800000000000004</v>
          </cell>
          <cell r="BV38">
            <v>39.900000000000006</v>
          </cell>
          <cell r="BW38">
            <v>0</v>
          </cell>
          <cell r="BX38">
            <v>0</v>
          </cell>
          <cell r="BY38">
            <v>0</v>
          </cell>
          <cell r="BZ38">
            <v>0</v>
          </cell>
          <cell r="CA38">
            <v>2.1</v>
          </cell>
          <cell r="CB38">
            <v>97.899999999999991</v>
          </cell>
          <cell r="CC38">
            <v>13.900000000000002</v>
          </cell>
          <cell r="CD38">
            <v>7.3</v>
          </cell>
          <cell r="CE38" t="str">
            <v>nd</v>
          </cell>
          <cell r="CF38">
            <v>0.89999999999999991</v>
          </cell>
          <cell r="CG38">
            <v>1.2</v>
          </cell>
          <cell r="CH38">
            <v>18.7</v>
          </cell>
          <cell r="CI38">
            <v>7.8</v>
          </cell>
          <cell r="CJ38">
            <v>69.599999999999994</v>
          </cell>
          <cell r="CK38">
            <v>36.1</v>
          </cell>
          <cell r="CL38">
            <v>3.3000000000000003</v>
          </cell>
          <cell r="CM38" t="str">
            <v>nd</v>
          </cell>
          <cell r="CN38">
            <v>0</v>
          </cell>
          <cell r="CO38">
            <v>61.7</v>
          </cell>
          <cell r="CP38">
            <v>25.8</v>
          </cell>
          <cell r="CQ38">
            <v>34.1</v>
          </cell>
          <cell r="CR38">
            <v>12.4</v>
          </cell>
          <cell r="CS38">
            <v>27.700000000000003</v>
          </cell>
          <cell r="CT38">
            <v>11.899999999999999</v>
          </cell>
          <cell r="CU38">
            <v>88.1</v>
          </cell>
          <cell r="CV38">
            <v>16.8</v>
          </cell>
          <cell r="CW38">
            <v>83.2</v>
          </cell>
          <cell r="CX38">
            <v>15.4</v>
          </cell>
          <cell r="CY38">
            <v>49.7</v>
          </cell>
          <cell r="CZ38">
            <v>35</v>
          </cell>
          <cell r="DA38">
            <v>25.4</v>
          </cell>
          <cell r="DB38">
            <v>0</v>
          </cell>
          <cell r="DC38">
            <v>24.6</v>
          </cell>
          <cell r="DD38">
            <v>0</v>
          </cell>
          <cell r="DE38">
            <v>64.8</v>
          </cell>
          <cell r="DF38">
            <v>19.400000000000002</v>
          </cell>
          <cell r="DG38">
            <v>3.5999999999999996</v>
          </cell>
          <cell r="DH38">
            <v>10.9</v>
          </cell>
          <cell r="DI38">
            <v>13.900000000000002</v>
          </cell>
          <cell r="DJ38">
            <v>31.8</v>
          </cell>
          <cell r="DK38">
            <v>20.399999999999999</v>
          </cell>
          <cell r="DL38">
            <v>18.600000000000001</v>
          </cell>
          <cell r="DM38">
            <v>51.7</v>
          </cell>
          <cell r="DN38">
            <v>4.5999999999999996</v>
          </cell>
          <cell r="DO38">
            <v>13.900000000000002</v>
          </cell>
          <cell r="DP38">
            <v>5.4</v>
          </cell>
          <cell r="DQ38" t="str">
            <v>nd</v>
          </cell>
          <cell r="DR38">
            <v>19.7</v>
          </cell>
          <cell r="DS38">
            <v>13.100000000000001</v>
          </cell>
          <cell r="DT38">
            <v>17.8</v>
          </cell>
          <cell r="DU38">
            <v>0</v>
          </cell>
          <cell r="DV38">
            <v>0</v>
          </cell>
          <cell r="DW38">
            <v>0</v>
          </cell>
          <cell r="DX38">
            <v>0</v>
          </cell>
          <cell r="DY38">
            <v>0</v>
          </cell>
          <cell r="DZ38">
            <v>4.2041500000000003</v>
          </cell>
          <cell r="EA38">
            <v>5.5427799999999996</v>
          </cell>
          <cell r="EB38">
            <v>1.9332100000000001</v>
          </cell>
          <cell r="EC38">
            <v>1.83836</v>
          </cell>
          <cell r="ED38" t="str">
            <v>nd</v>
          </cell>
          <cell r="EE38">
            <v>0</v>
          </cell>
          <cell r="EF38">
            <v>27.083410300000001</v>
          </cell>
          <cell r="EG38">
            <v>12.418139699999999</v>
          </cell>
          <cell r="EH38">
            <v>2.4617800000000001</v>
          </cell>
          <cell r="EI38">
            <v>0</v>
          </cell>
          <cell r="EJ38">
            <v>1.73929</v>
          </cell>
          <cell r="EK38" t="str">
            <v>nd</v>
          </cell>
          <cell r="EL38">
            <v>20.8138273</v>
          </cell>
          <cell r="EM38">
            <v>5.0811099999999998</v>
          </cell>
          <cell r="EN38" t="str">
            <v>nd</v>
          </cell>
          <cell r="EO38">
            <v>0.59594599999999998</v>
          </cell>
          <cell r="EP38" t="str">
            <v>nd</v>
          </cell>
          <cell r="EQ38" t="str">
            <v>nd</v>
          </cell>
          <cell r="ER38">
            <v>10.9659379</v>
          </cell>
          <cell r="ES38" t="str">
            <v>nd</v>
          </cell>
          <cell r="ET38" t="str">
            <v>nd</v>
          </cell>
          <cell r="EU38">
            <v>0</v>
          </cell>
          <cell r="EV38">
            <v>0</v>
          </cell>
          <cell r="EW38" t="str">
            <v>nd</v>
          </cell>
          <cell r="EX38">
            <v>0</v>
          </cell>
          <cell r="EY38">
            <v>0</v>
          </cell>
          <cell r="EZ38">
            <v>0</v>
          </cell>
          <cell r="FA38">
            <v>0</v>
          </cell>
          <cell r="FB38">
            <v>0</v>
          </cell>
          <cell r="FC38">
            <v>0</v>
          </cell>
          <cell r="FD38" t="str">
            <v>nd</v>
          </cell>
          <cell r="FE38" t="str">
            <v>nd</v>
          </cell>
          <cell r="FF38">
            <v>2.0506900000000003</v>
          </cell>
          <cell r="FG38">
            <v>9.1998449999999998</v>
          </cell>
          <cell r="FH38">
            <v>2.4961799999999998</v>
          </cell>
          <cell r="FI38">
            <v>0</v>
          </cell>
          <cell r="FJ38" t="str">
            <v>nd</v>
          </cell>
          <cell r="FK38" t="str">
            <v>nd</v>
          </cell>
          <cell r="FL38">
            <v>4.5353500000000002</v>
          </cell>
          <cell r="FM38">
            <v>21.163976699999999</v>
          </cell>
          <cell r="FN38">
            <v>16.844346599999998</v>
          </cell>
          <cell r="FO38" t="str">
            <v>nd</v>
          </cell>
          <cell r="FP38">
            <v>1.2615700000000001</v>
          </cell>
          <cell r="FQ38" t="str">
            <v>nd</v>
          </cell>
          <cell r="FR38">
            <v>2.0306199999999999</v>
          </cell>
          <cell r="FS38">
            <v>9.1194497999999999</v>
          </cell>
          <cell r="FT38">
            <v>16.819874200000001</v>
          </cell>
          <cell r="FU38">
            <v>0</v>
          </cell>
          <cell r="FV38">
            <v>0</v>
          </cell>
          <cell r="FW38">
            <v>0</v>
          </cell>
          <cell r="FX38" t="str">
            <v>nd</v>
          </cell>
          <cell r="FY38">
            <v>4.6730300000000007</v>
          </cell>
          <cell r="FZ38">
            <v>6.7040381999999994</v>
          </cell>
          <cell r="GA38">
            <v>0</v>
          </cell>
          <cell r="GB38">
            <v>0</v>
          </cell>
          <cell r="GC38">
            <v>0</v>
          </cell>
          <cell r="GD38">
            <v>0</v>
          </cell>
          <cell r="GE38">
            <v>0</v>
          </cell>
          <cell r="GF38" t="str">
            <v>nd</v>
          </cell>
          <cell r="GG38" t="str">
            <v>nd</v>
          </cell>
          <cell r="GH38" t="str">
            <v>nd</v>
          </cell>
          <cell r="GI38">
            <v>4.7111599999999996</v>
          </cell>
          <cell r="GJ38">
            <v>4.4491299999999994</v>
          </cell>
          <cell r="GK38">
            <v>3.0886299999999998</v>
          </cell>
          <cell r="GL38" t="str">
            <v>nd</v>
          </cell>
          <cell r="GM38" t="str">
            <v>nd</v>
          </cell>
          <cell r="GN38">
            <v>2.2620500000000003</v>
          </cell>
          <cell r="GO38">
            <v>3.7822399999999998</v>
          </cell>
          <cell r="GP38">
            <v>17.325865400000001</v>
          </cell>
          <cell r="GQ38">
            <v>18.480499000000002</v>
          </cell>
          <cell r="GR38">
            <v>0</v>
          </cell>
          <cell r="GS38">
            <v>0</v>
          </cell>
          <cell r="GT38" t="str">
            <v>nd</v>
          </cell>
          <cell r="GU38" t="str">
            <v>nd</v>
          </cell>
          <cell r="GV38">
            <v>8.1814447000000001</v>
          </cell>
          <cell r="GW38">
            <v>19.055781</v>
          </cell>
          <cell r="GX38">
            <v>0</v>
          </cell>
          <cell r="GY38">
            <v>0</v>
          </cell>
          <cell r="GZ38">
            <v>0</v>
          </cell>
          <cell r="HA38">
            <v>0</v>
          </cell>
          <cell r="HB38">
            <v>2.6807399999999997</v>
          </cell>
          <cell r="HC38">
            <v>9.0624485999999997</v>
          </cell>
          <cell r="HD38">
            <v>0</v>
          </cell>
          <cell r="HE38">
            <v>0</v>
          </cell>
          <cell r="HF38">
            <v>0</v>
          </cell>
          <cell r="HG38">
            <v>0</v>
          </cell>
          <cell r="HH38">
            <v>0</v>
          </cell>
          <cell r="HI38">
            <v>0</v>
          </cell>
          <cell r="HJ38">
            <v>0</v>
          </cell>
          <cell r="HK38">
            <v>0</v>
          </cell>
          <cell r="HL38" t="str">
            <v>nd</v>
          </cell>
          <cell r="HM38">
            <v>10.1655476</v>
          </cell>
          <cell r="HN38">
            <v>3.9717000000000002</v>
          </cell>
          <cell r="HO38">
            <v>0</v>
          </cell>
          <cell r="HP38">
            <v>0</v>
          </cell>
          <cell r="HQ38" t="str">
            <v>nd</v>
          </cell>
          <cell r="HR38">
            <v>3.0524499999999999</v>
          </cell>
          <cell r="HS38">
            <v>36.386117499999997</v>
          </cell>
          <cell r="HT38">
            <v>3.9517799999999998</v>
          </cell>
          <cell r="HU38">
            <v>0</v>
          </cell>
          <cell r="HV38">
            <v>0</v>
          </cell>
          <cell r="HW38">
            <v>0</v>
          </cell>
          <cell r="HX38">
            <v>2.63775</v>
          </cell>
          <cell r="HY38">
            <v>18.764037500000001</v>
          </cell>
          <cell r="HZ38">
            <v>8.7881223999999989</v>
          </cell>
          <cell r="IA38">
            <v>0</v>
          </cell>
          <cell r="IB38">
            <v>0</v>
          </cell>
          <cell r="IC38">
            <v>0</v>
          </cell>
          <cell r="ID38">
            <v>2.2340200000000001</v>
          </cell>
          <cell r="IE38">
            <v>7.6463605000000001</v>
          </cell>
          <cell r="IF38">
            <v>1.8009000000000002</v>
          </cell>
          <cell r="IG38">
            <v>0</v>
          </cell>
          <cell r="IH38">
            <v>0</v>
          </cell>
          <cell r="II38">
            <v>0</v>
          </cell>
          <cell r="IJ38">
            <v>0</v>
          </cell>
          <cell r="IK38">
            <v>0</v>
          </cell>
          <cell r="IL38">
            <v>0</v>
          </cell>
          <cell r="IM38">
            <v>0</v>
          </cell>
          <cell r="IN38" t="str">
            <v>nd</v>
          </cell>
          <cell r="IO38" t="str">
            <v>nd</v>
          </cell>
          <cell r="IP38">
            <v>7.9429853999999995</v>
          </cell>
          <cell r="IQ38">
            <v>5.07606</v>
          </cell>
          <cell r="IR38">
            <v>0</v>
          </cell>
          <cell r="IS38">
            <v>0</v>
          </cell>
          <cell r="IT38" t="str">
            <v>nd</v>
          </cell>
          <cell r="IU38">
            <v>2.7674099999999999</v>
          </cell>
          <cell r="IV38">
            <v>22.864443900000001</v>
          </cell>
          <cell r="IW38">
            <v>16.8732127</v>
          </cell>
          <cell r="IX38">
            <v>0</v>
          </cell>
          <cell r="IY38">
            <v>0</v>
          </cell>
          <cell r="IZ38">
            <v>0</v>
          </cell>
          <cell r="JA38">
            <v>2.5617100000000002</v>
          </cell>
          <cell r="JB38">
            <v>13.4473339</v>
          </cell>
          <cell r="JC38">
            <v>14.201768100000001</v>
          </cell>
          <cell r="JD38">
            <v>0</v>
          </cell>
          <cell r="JE38">
            <v>0</v>
          </cell>
          <cell r="JF38">
            <v>0</v>
          </cell>
          <cell r="JG38" t="str">
            <v>nd</v>
          </cell>
          <cell r="JH38">
            <v>7.5414641000000007</v>
          </cell>
          <cell r="JI38">
            <v>3.7286000000000001</v>
          </cell>
          <cell r="JJ38">
            <v>0</v>
          </cell>
          <cell r="JK38">
            <v>0</v>
          </cell>
          <cell r="JL38">
            <v>0</v>
          </cell>
          <cell r="JM38">
            <v>0</v>
          </cell>
          <cell r="JN38">
            <v>0</v>
          </cell>
          <cell r="JO38">
            <v>0</v>
          </cell>
          <cell r="JP38">
            <v>0</v>
          </cell>
          <cell r="JQ38">
            <v>0</v>
          </cell>
          <cell r="JR38">
            <v>0</v>
          </cell>
          <cell r="JS38">
            <v>0</v>
          </cell>
          <cell r="JT38">
            <v>14.650012400000001</v>
          </cell>
          <cell r="JU38">
            <v>0</v>
          </cell>
          <cell r="JV38">
            <v>0</v>
          </cell>
          <cell r="JW38">
            <v>0</v>
          </cell>
          <cell r="JX38">
            <v>0</v>
          </cell>
          <cell r="JY38" t="str">
            <v>nd</v>
          </cell>
          <cell r="JZ38">
            <v>42.303524400000001</v>
          </cell>
          <cell r="KA38">
            <v>0</v>
          </cell>
          <cell r="KB38">
            <v>0</v>
          </cell>
          <cell r="KC38">
            <v>0</v>
          </cell>
          <cell r="KD38">
            <v>0</v>
          </cell>
          <cell r="KE38" t="str">
            <v>nd</v>
          </cell>
          <cell r="KF38">
            <v>29.494749799999997</v>
          </cell>
          <cell r="KG38">
            <v>0</v>
          </cell>
          <cell r="KH38">
            <v>0</v>
          </cell>
          <cell r="KI38">
            <v>0</v>
          </cell>
          <cell r="KJ38">
            <v>0</v>
          </cell>
          <cell r="KK38" t="str">
            <v>nd</v>
          </cell>
          <cell r="KL38">
            <v>11.499143999999999</v>
          </cell>
          <cell r="KM38">
            <v>75</v>
          </cell>
          <cell r="KN38">
            <v>5.6000000000000005</v>
          </cell>
          <cell r="KO38">
            <v>8.4</v>
          </cell>
          <cell r="KP38">
            <v>6.2</v>
          </cell>
          <cell r="KQ38">
            <v>4.8</v>
          </cell>
          <cell r="KR38">
            <v>0.1</v>
          </cell>
          <cell r="KS38">
            <v>73.5</v>
          </cell>
          <cell r="KT38">
            <v>6.2</v>
          </cell>
          <cell r="KU38">
            <v>8.6</v>
          </cell>
          <cell r="KV38">
            <v>6.6000000000000005</v>
          </cell>
          <cell r="KW38">
            <v>5.0999999999999996</v>
          </cell>
          <cell r="KX38">
            <v>0.1</v>
          </cell>
          <cell r="KY38"/>
          <cell r="KZ38"/>
          <cell r="LA38"/>
          <cell r="LB38"/>
          <cell r="LC38"/>
          <cell r="LD38"/>
          <cell r="LE38"/>
          <cell r="LF38"/>
          <cell r="LG38"/>
          <cell r="LH38"/>
          <cell r="LI38"/>
          <cell r="LJ38"/>
          <cell r="LK38"/>
          <cell r="LL38"/>
          <cell r="LM38"/>
          <cell r="LN38"/>
          <cell r="LO38"/>
        </row>
        <row r="39">
          <cell r="A39" t="str">
            <v>4C5</v>
          </cell>
          <cell r="B39" t="str">
            <v>39</v>
          </cell>
          <cell r="C39" t="str">
            <v>NAF 17</v>
          </cell>
          <cell r="D39" t="str">
            <v>C5</v>
          </cell>
          <cell r="E39" t="str">
            <v>4</v>
          </cell>
          <cell r="F39" t="str">
            <v>nd</v>
          </cell>
          <cell r="G39">
            <v>8.4</v>
          </cell>
          <cell r="H39">
            <v>46</v>
          </cell>
          <cell r="I39">
            <v>34.5</v>
          </cell>
          <cell r="J39">
            <v>10.8</v>
          </cell>
          <cell r="K39">
            <v>78.400000000000006</v>
          </cell>
          <cell r="L39">
            <v>6.5</v>
          </cell>
          <cell r="M39">
            <v>8.2000000000000011</v>
          </cell>
          <cell r="N39">
            <v>6.9</v>
          </cell>
          <cell r="O39">
            <v>33.800000000000004</v>
          </cell>
          <cell r="P39">
            <v>21.8</v>
          </cell>
          <cell r="Q39">
            <v>20.5</v>
          </cell>
          <cell r="R39">
            <v>10.100000000000001</v>
          </cell>
          <cell r="S39">
            <v>13.5</v>
          </cell>
          <cell r="T39">
            <v>43.9</v>
          </cell>
          <cell r="U39">
            <v>3.5999999999999996</v>
          </cell>
          <cell r="V39">
            <v>18</v>
          </cell>
          <cell r="W39">
            <v>13.900000000000002</v>
          </cell>
          <cell r="X39">
            <v>81.599999999999994</v>
          </cell>
          <cell r="Y39">
            <v>4.5</v>
          </cell>
          <cell r="Z39">
            <v>16.8</v>
          </cell>
          <cell r="AA39">
            <v>53.400000000000006</v>
          </cell>
          <cell r="AB39">
            <v>35.9</v>
          </cell>
          <cell r="AC39">
            <v>55.000000000000007</v>
          </cell>
          <cell r="AD39">
            <v>16.8</v>
          </cell>
          <cell r="AE39">
            <v>76</v>
          </cell>
          <cell r="AF39">
            <v>24</v>
          </cell>
          <cell r="AG39">
            <v>76.3</v>
          </cell>
          <cell r="AH39">
            <v>23.7</v>
          </cell>
          <cell r="AI39">
            <v>56.499999999999993</v>
          </cell>
          <cell r="AJ39">
            <v>2.8000000000000003</v>
          </cell>
          <cell r="AK39">
            <v>2.1</v>
          </cell>
          <cell r="AL39">
            <v>32.5</v>
          </cell>
          <cell r="AM39">
            <v>6.2</v>
          </cell>
          <cell r="AN39">
            <v>15.7</v>
          </cell>
          <cell r="AO39">
            <v>4.5999999999999996</v>
          </cell>
          <cell r="AP39">
            <v>8.6</v>
          </cell>
          <cell r="AQ39">
            <v>67.5</v>
          </cell>
          <cell r="AR39">
            <v>3.6999999999999997</v>
          </cell>
          <cell r="AS39">
            <v>63.7</v>
          </cell>
          <cell r="AT39">
            <v>21.099999999999998</v>
          </cell>
          <cell r="AU39">
            <v>8.5</v>
          </cell>
          <cell r="AV39">
            <v>1.7999999999999998</v>
          </cell>
          <cell r="AW39">
            <v>2.2999999999999998</v>
          </cell>
          <cell r="AX39">
            <v>2.6</v>
          </cell>
          <cell r="AY39">
            <v>2.1</v>
          </cell>
          <cell r="AZ39">
            <v>5.0999999999999996</v>
          </cell>
          <cell r="BA39">
            <v>4.7</v>
          </cell>
          <cell r="BB39">
            <v>15.5</v>
          </cell>
          <cell r="BC39">
            <v>53.6</v>
          </cell>
          <cell r="BD39">
            <v>19.100000000000001</v>
          </cell>
          <cell r="BE39">
            <v>0.8</v>
          </cell>
          <cell r="BF39">
            <v>3.1</v>
          </cell>
          <cell r="BG39">
            <v>1.9</v>
          </cell>
          <cell r="BH39">
            <v>9.3000000000000007</v>
          </cell>
          <cell r="BI39">
            <v>47.199999999999996</v>
          </cell>
          <cell r="BJ39">
            <v>37.6</v>
          </cell>
          <cell r="BK39">
            <v>0</v>
          </cell>
          <cell r="BL39">
            <v>0</v>
          </cell>
          <cell r="BM39">
            <v>0.5</v>
          </cell>
          <cell r="BN39">
            <v>7.8</v>
          </cell>
          <cell r="BO39">
            <v>87.3</v>
          </cell>
          <cell r="BP39">
            <v>4.3999999999999995</v>
          </cell>
          <cell r="BQ39" t="str">
            <v>nd</v>
          </cell>
          <cell r="BR39" t="str">
            <v>nd</v>
          </cell>
          <cell r="BS39" t="str">
            <v>nd</v>
          </cell>
          <cell r="BT39">
            <v>12.2</v>
          </cell>
          <cell r="BU39">
            <v>67.800000000000011</v>
          </cell>
          <cell r="BV39">
            <v>18.899999999999999</v>
          </cell>
          <cell r="BW39">
            <v>0</v>
          </cell>
          <cell r="BX39">
            <v>0</v>
          </cell>
          <cell r="BY39">
            <v>0</v>
          </cell>
          <cell r="BZ39" t="str">
            <v>nd</v>
          </cell>
          <cell r="CA39" t="str">
            <v>nd</v>
          </cell>
          <cell r="CB39">
            <v>99.7</v>
          </cell>
          <cell r="CC39">
            <v>24.9</v>
          </cell>
          <cell r="CD39">
            <v>13.900000000000002</v>
          </cell>
          <cell r="CE39">
            <v>1.2</v>
          </cell>
          <cell r="CF39">
            <v>1.7999999999999998</v>
          </cell>
          <cell r="CG39">
            <v>0.8</v>
          </cell>
          <cell r="CH39">
            <v>17.399999999999999</v>
          </cell>
          <cell r="CI39">
            <v>5.3</v>
          </cell>
          <cell r="CJ39">
            <v>54.2</v>
          </cell>
          <cell r="CK39">
            <v>47.199999999999996</v>
          </cell>
          <cell r="CL39">
            <v>5.8000000000000007</v>
          </cell>
          <cell r="CM39">
            <v>3.4000000000000004</v>
          </cell>
          <cell r="CN39">
            <v>1.6</v>
          </cell>
          <cell r="CO39">
            <v>50.4</v>
          </cell>
          <cell r="CP39">
            <v>19.8</v>
          </cell>
          <cell r="CQ39">
            <v>38.1</v>
          </cell>
          <cell r="CR39">
            <v>8.4</v>
          </cell>
          <cell r="CS39">
            <v>33.700000000000003</v>
          </cell>
          <cell r="CT39">
            <v>11.200000000000001</v>
          </cell>
          <cell r="CU39">
            <v>88.8</v>
          </cell>
          <cell r="CV39">
            <v>18.5</v>
          </cell>
          <cell r="CW39">
            <v>81.5</v>
          </cell>
          <cell r="CX39">
            <v>19.900000000000002</v>
          </cell>
          <cell r="CY39">
            <v>41.699999999999996</v>
          </cell>
          <cell r="CZ39">
            <v>38.5</v>
          </cell>
          <cell r="DA39">
            <v>38</v>
          </cell>
          <cell r="DB39">
            <v>6.7</v>
          </cell>
          <cell r="DC39">
            <v>7.3999999999999995</v>
          </cell>
          <cell r="DD39">
            <v>0</v>
          </cell>
          <cell r="DE39">
            <v>64.400000000000006</v>
          </cell>
          <cell r="DF39">
            <v>17.5</v>
          </cell>
          <cell r="DG39">
            <v>8.4</v>
          </cell>
          <cell r="DH39">
            <v>10.9</v>
          </cell>
          <cell r="DI39">
            <v>12.8</v>
          </cell>
          <cell r="DJ39">
            <v>27.800000000000004</v>
          </cell>
          <cell r="DK39">
            <v>22.5</v>
          </cell>
          <cell r="DL39">
            <v>13.3</v>
          </cell>
          <cell r="DM39">
            <v>55.2</v>
          </cell>
          <cell r="DN39">
            <v>5.3</v>
          </cell>
          <cell r="DO39">
            <v>13.700000000000001</v>
          </cell>
          <cell r="DP39">
            <v>7.0000000000000009</v>
          </cell>
          <cell r="DQ39">
            <v>2.5</v>
          </cell>
          <cell r="DR39">
            <v>17.5</v>
          </cell>
          <cell r="DS39">
            <v>16.600000000000001</v>
          </cell>
          <cell r="DT39">
            <v>16</v>
          </cell>
          <cell r="DU39">
            <v>0</v>
          </cell>
          <cell r="DV39">
            <v>0</v>
          </cell>
          <cell r="DW39">
            <v>0</v>
          </cell>
          <cell r="DX39" t="str">
            <v>nd</v>
          </cell>
          <cell r="DY39" t="str">
            <v>nd</v>
          </cell>
          <cell r="DZ39">
            <v>3.5381299999999998</v>
          </cell>
          <cell r="EA39">
            <v>2.3539999999999996</v>
          </cell>
          <cell r="EB39">
            <v>2.1075500000000003</v>
          </cell>
          <cell r="EC39">
            <v>0</v>
          </cell>
          <cell r="ED39" t="str">
            <v>nd</v>
          </cell>
          <cell r="EE39">
            <v>0</v>
          </cell>
          <cell r="EF39">
            <v>24.7243073</v>
          </cell>
          <cell r="EG39">
            <v>12.9419149</v>
          </cell>
          <cell r="EH39">
            <v>5.2144000000000004</v>
          </cell>
          <cell r="EI39">
            <v>1.3077800000000002</v>
          </cell>
          <cell r="EJ39">
            <v>1.0548500000000001</v>
          </cell>
          <cell r="EK39">
            <v>0.82798000000000005</v>
          </cell>
          <cell r="EL39">
            <v>27.522210200000004</v>
          </cell>
          <cell r="EM39">
            <v>4.6255699999999997</v>
          </cell>
          <cell r="EN39" t="str">
            <v>nd</v>
          </cell>
          <cell r="EO39">
            <v>0</v>
          </cell>
          <cell r="EP39">
            <v>0.616811</v>
          </cell>
          <cell r="EQ39">
            <v>1.14222</v>
          </cell>
          <cell r="ER39">
            <v>7.9254737000000004</v>
          </cell>
          <cell r="ES39">
            <v>1.1825300000000001</v>
          </cell>
          <cell r="ET39">
            <v>0.56492399999999998</v>
          </cell>
          <cell r="EU39" t="str">
            <v>nd</v>
          </cell>
          <cell r="EV39" t="str">
            <v>nd</v>
          </cell>
          <cell r="EW39">
            <v>0.52745300000000006</v>
          </cell>
          <cell r="EX39">
            <v>0</v>
          </cell>
          <cell r="EY39" t="str">
            <v>nd</v>
          </cell>
          <cell r="EZ39">
            <v>0</v>
          </cell>
          <cell r="FA39">
            <v>0</v>
          </cell>
          <cell r="FB39">
            <v>0</v>
          </cell>
          <cell r="FC39" t="str">
            <v>nd</v>
          </cell>
          <cell r="FD39">
            <v>0</v>
          </cell>
          <cell r="FE39" t="str">
            <v>nd</v>
          </cell>
          <cell r="FF39">
            <v>0.99807000000000001</v>
          </cell>
          <cell r="FG39">
            <v>4.8876099999999996</v>
          </cell>
          <cell r="FH39">
            <v>1.6977699999999998</v>
          </cell>
          <cell r="FI39" t="str">
            <v>nd</v>
          </cell>
          <cell r="FJ39">
            <v>4.2485299999999997</v>
          </cell>
          <cell r="FK39">
            <v>2.0405500000000001</v>
          </cell>
          <cell r="FL39">
            <v>8.0588888999999995</v>
          </cell>
          <cell r="FM39">
            <v>23.5380182</v>
          </cell>
          <cell r="FN39">
            <v>7.8044317000000003</v>
          </cell>
          <cell r="FO39">
            <v>1.26373</v>
          </cell>
          <cell r="FP39">
            <v>0.92032000000000003</v>
          </cell>
          <cell r="FQ39">
            <v>1.6645000000000001</v>
          </cell>
          <cell r="FR39">
            <v>5.3797800000000002</v>
          </cell>
          <cell r="FS39">
            <v>19.401267699999998</v>
          </cell>
          <cell r="FT39">
            <v>5.9302200000000003</v>
          </cell>
          <cell r="FU39">
            <v>0</v>
          </cell>
          <cell r="FV39">
            <v>0</v>
          </cell>
          <cell r="FW39">
            <v>0.60772800000000005</v>
          </cell>
          <cell r="FX39">
            <v>1.0400700000000001</v>
          </cell>
          <cell r="FY39">
            <v>5.3665799999999999</v>
          </cell>
          <cell r="FZ39">
            <v>3.6076600000000001</v>
          </cell>
          <cell r="GA39" t="str">
            <v>nd</v>
          </cell>
          <cell r="GB39">
            <v>0</v>
          </cell>
          <cell r="GC39">
            <v>0</v>
          </cell>
          <cell r="GD39">
            <v>0</v>
          </cell>
          <cell r="GE39">
            <v>0</v>
          </cell>
          <cell r="GF39" t="str">
            <v>nd</v>
          </cell>
          <cell r="GG39">
            <v>1.1883299999999999</v>
          </cell>
          <cell r="GH39">
            <v>0.86989000000000005</v>
          </cell>
          <cell r="GI39">
            <v>1.0047900000000001</v>
          </cell>
          <cell r="GJ39">
            <v>2.1835599999999999</v>
          </cell>
          <cell r="GK39">
            <v>2.16134</v>
          </cell>
          <cell r="GL39" t="str">
            <v>nd</v>
          </cell>
          <cell r="GM39">
            <v>1.30427</v>
          </cell>
          <cell r="GN39">
            <v>0.71155000000000002</v>
          </cell>
          <cell r="GO39">
            <v>7.1741948000000004</v>
          </cell>
          <cell r="GP39">
            <v>24.231050500000002</v>
          </cell>
          <cell r="GQ39">
            <v>12.7420493</v>
          </cell>
          <cell r="GR39">
            <v>0</v>
          </cell>
          <cell r="GS39">
            <v>0</v>
          </cell>
          <cell r="GT39" t="str">
            <v>nd</v>
          </cell>
          <cell r="GU39">
            <v>0.71383699999999994</v>
          </cell>
          <cell r="GV39">
            <v>15.021312500000001</v>
          </cell>
          <cell r="GW39">
            <v>19.059402200000001</v>
          </cell>
          <cell r="GX39">
            <v>0</v>
          </cell>
          <cell r="GY39" t="str">
            <v>nd</v>
          </cell>
          <cell r="GZ39">
            <v>0</v>
          </cell>
          <cell r="HA39" t="str">
            <v>nd</v>
          </cell>
          <cell r="HB39">
            <v>5.8344399999999998</v>
          </cell>
          <cell r="HC39">
            <v>3.6217399999999995</v>
          </cell>
          <cell r="HD39">
            <v>0</v>
          </cell>
          <cell r="HE39" t="str">
            <v>nd</v>
          </cell>
          <cell r="HF39">
            <v>0</v>
          </cell>
          <cell r="HG39">
            <v>0</v>
          </cell>
          <cell r="HH39">
            <v>0</v>
          </cell>
          <cell r="HI39">
            <v>0</v>
          </cell>
          <cell r="HJ39">
            <v>0</v>
          </cell>
          <cell r="HK39">
            <v>0</v>
          </cell>
          <cell r="HL39">
            <v>1.79538</v>
          </cell>
          <cell r="HM39">
            <v>6.4139321999999996</v>
          </cell>
          <cell r="HN39" t="str">
            <v>nd</v>
          </cell>
          <cell r="HO39">
            <v>0</v>
          </cell>
          <cell r="HP39">
            <v>0</v>
          </cell>
          <cell r="HQ39">
            <v>0.50089499999999998</v>
          </cell>
          <cell r="HR39">
            <v>1.94733</v>
          </cell>
          <cell r="HS39">
            <v>41.456176500000005</v>
          </cell>
          <cell r="HT39">
            <v>1.7007499999999998</v>
          </cell>
          <cell r="HU39">
            <v>0</v>
          </cell>
          <cell r="HV39">
            <v>0</v>
          </cell>
          <cell r="HW39">
            <v>0</v>
          </cell>
          <cell r="HX39">
            <v>3.6603700000000003</v>
          </cell>
          <cell r="HY39">
            <v>29.349944000000001</v>
          </cell>
          <cell r="HZ39">
            <v>2.18282</v>
          </cell>
          <cell r="IA39">
            <v>0</v>
          </cell>
          <cell r="IB39">
            <v>0</v>
          </cell>
          <cell r="IC39">
            <v>0</v>
          </cell>
          <cell r="ID39" t="str">
            <v>nd</v>
          </cell>
          <cell r="IE39">
            <v>9.7008197000000003</v>
          </cell>
          <cell r="IF39" t="str">
            <v>nd</v>
          </cell>
          <cell r="IG39">
            <v>0</v>
          </cell>
          <cell r="IH39" t="str">
            <v>nd</v>
          </cell>
          <cell r="II39">
            <v>0</v>
          </cell>
          <cell r="IJ39">
            <v>0</v>
          </cell>
          <cell r="IK39">
            <v>0</v>
          </cell>
          <cell r="IL39">
            <v>0</v>
          </cell>
          <cell r="IM39" t="str">
            <v>nd</v>
          </cell>
          <cell r="IN39">
            <v>0</v>
          </cell>
          <cell r="IO39" t="str">
            <v>nd</v>
          </cell>
          <cell r="IP39">
            <v>6.2121000000000004</v>
          </cell>
          <cell r="IQ39">
            <v>0.98743000000000003</v>
          </cell>
          <cell r="IR39">
            <v>0</v>
          </cell>
          <cell r="IS39">
            <v>0</v>
          </cell>
          <cell r="IT39" t="str">
            <v>nd</v>
          </cell>
          <cell r="IU39">
            <v>7.4623965999999999</v>
          </cell>
          <cell r="IV39">
            <v>30.462093699999997</v>
          </cell>
          <cell r="IW39">
            <v>7.8567684999999994</v>
          </cell>
          <cell r="IX39">
            <v>0</v>
          </cell>
          <cell r="IY39">
            <v>0</v>
          </cell>
          <cell r="IZ39" t="str">
            <v>nd</v>
          </cell>
          <cell r="JA39">
            <v>3.5319400000000001</v>
          </cell>
          <cell r="JB39">
            <v>23.8516938</v>
          </cell>
          <cell r="JC39">
            <v>7.4415366999999994</v>
          </cell>
          <cell r="JD39" t="str">
            <v>nd</v>
          </cell>
          <cell r="JE39">
            <v>0</v>
          </cell>
          <cell r="JF39">
            <v>0</v>
          </cell>
          <cell r="JG39">
            <v>0.68461800000000006</v>
          </cell>
          <cell r="JH39">
            <v>6.8688056</v>
          </cell>
          <cell r="JI39">
            <v>2.6273599999999999</v>
          </cell>
          <cell r="JJ39">
            <v>0</v>
          </cell>
          <cell r="JK39">
            <v>0</v>
          </cell>
          <cell r="JL39">
            <v>0</v>
          </cell>
          <cell r="JM39">
            <v>0</v>
          </cell>
          <cell r="JN39" t="str">
            <v>nd</v>
          </cell>
          <cell r="JO39">
            <v>0</v>
          </cell>
          <cell r="JP39">
            <v>0</v>
          </cell>
          <cell r="JQ39">
            <v>0</v>
          </cell>
          <cell r="JR39">
            <v>0</v>
          </cell>
          <cell r="JS39">
            <v>0</v>
          </cell>
          <cell r="JT39">
            <v>8.0289137999999998</v>
          </cell>
          <cell r="JU39">
            <v>0</v>
          </cell>
          <cell r="JV39">
            <v>0</v>
          </cell>
          <cell r="JW39">
            <v>0</v>
          </cell>
          <cell r="JX39" t="str">
            <v>nd</v>
          </cell>
          <cell r="JY39" t="str">
            <v>nd</v>
          </cell>
          <cell r="JZ39">
            <v>45.921059300000003</v>
          </cell>
          <cell r="KA39">
            <v>0</v>
          </cell>
          <cell r="KB39">
            <v>0</v>
          </cell>
          <cell r="KC39">
            <v>0</v>
          </cell>
          <cell r="KD39">
            <v>0</v>
          </cell>
          <cell r="KE39">
            <v>0</v>
          </cell>
          <cell r="KF39">
            <v>35.1743375</v>
          </cell>
          <cell r="KG39">
            <v>0</v>
          </cell>
          <cell r="KH39">
            <v>0</v>
          </cell>
          <cell r="KI39">
            <v>0</v>
          </cell>
          <cell r="KJ39">
            <v>0</v>
          </cell>
          <cell r="KK39">
            <v>0</v>
          </cell>
          <cell r="KL39">
            <v>10.1111504</v>
          </cell>
          <cell r="KM39">
            <v>69.099999999999994</v>
          </cell>
          <cell r="KN39">
            <v>11.899999999999999</v>
          </cell>
          <cell r="KO39">
            <v>6.6000000000000005</v>
          </cell>
          <cell r="KP39">
            <v>6.2</v>
          </cell>
          <cell r="KQ39">
            <v>6</v>
          </cell>
          <cell r="KR39">
            <v>0</v>
          </cell>
          <cell r="KS39">
            <v>66.8</v>
          </cell>
          <cell r="KT39">
            <v>12.7</v>
          </cell>
          <cell r="KU39">
            <v>7.1999999999999993</v>
          </cell>
          <cell r="KV39">
            <v>6.6000000000000005</v>
          </cell>
          <cell r="KW39">
            <v>6.7</v>
          </cell>
          <cell r="KX39">
            <v>0</v>
          </cell>
          <cell r="KY39"/>
          <cell r="KZ39"/>
          <cell r="LA39"/>
          <cell r="LB39"/>
          <cell r="LC39"/>
          <cell r="LD39"/>
          <cell r="LE39"/>
          <cell r="LF39"/>
          <cell r="LG39"/>
          <cell r="LH39"/>
          <cell r="LI39"/>
          <cell r="LJ39"/>
          <cell r="LK39"/>
          <cell r="LL39"/>
          <cell r="LM39"/>
          <cell r="LN39"/>
          <cell r="LO39"/>
        </row>
        <row r="40">
          <cell r="A40" t="str">
            <v>5C5</v>
          </cell>
          <cell r="B40" t="str">
            <v>40</v>
          </cell>
          <cell r="C40" t="str">
            <v>NAF 17</v>
          </cell>
          <cell r="D40" t="str">
            <v>C5</v>
          </cell>
          <cell r="E40" t="str">
            <v>5</v>
          </cell>
          <cell r="F40">
            <v>0</v>
          </cell>
          <cell r="G40">
            <v>13.100000000000001</v>
          </cell>
          <cell r="H40">
            <v>39.900000000000006</v>
          </cell>
          <cell r="I40">
            <v>36.1</v>
          </cell>
          <cell r="J40">
            <v>10.8</v>
          </cell>
          <cell r="K40">
            <v>77.900000000000006</v>
          </cell>
          <cell r="L40">
            <v>4.2</v>
          </cell>
          <cell r="M40">
            <v>14.6</v>
          </cell>
          <cell r="N40">
            <v>3.2</v>
          </cell>
          <cell r="O40">
            <v>29.5</v>
          </cell>
          <cell r="P40">
            <v>25.3</v>
          </cell>
          <cell r="Q40">
            <v>23.799999999999997</v>
          </cell>
          <cell r="R40">
            <v>12.6</v>
          </cell>
          <cell r="S40">
            <v>16.100000000000001</v>
          </cell>
          <cell r="T40">
            <v>52</v>
          </cell>
          <cell r="U40">
            <v>2</v>
          </cell>
          <cell r="V40">
            <v>11.3</v>
          </cell>
          <cell r="W40">
            <v>10</v>
          </cell>
          <cell r="X40">
            <v>79.600000000000009</v>
          </cell>
          <cell r="Y40">
            <v>10.299999999999999</v>
          </cell>
          <cell r="Z40">
            <v>27</v>
          </cell>
          <cell r="AA40">
            <v>61</v>
          </cell>
          <cell r="AB40">
            <v>26</v>
          </cell>
          <cell r="AC40">
            <v>65</v>
          </cell>
          <cell r="AD40" t="str">
            <v>nd</v>
          </cell>
          <cell r="AE40">
            <v>74.900000000000006</v>
          </cell>
          <cell r="AF40">
            <v>25.1</v>
          </cell>
          <cell r="AG40">
            <v>84.5</v>
          </cell>
          <cell r="AH40">
            <v>15.5</v>
          </cell>
          <cell r="AI40">
            <v>47.099999999999994</v>
          </cell>
          <cell r="AJ40" t="str">
            <v>nd</v>
          </cell>
          <cell r="AK40">
            <v>1.3</v>
          </cell>
          <cell r="AL40">
            <v>44.4</v>
          </cell>
          <cell r="AM40">
            <v>5.3</v>
          </cell>
          <cell r="AN40">
            <v>14.6</v>
          </cell>
          <cell r="AO40">
            <v>5.3</v>
          </cell>
          <cell r="AP40">
            <v>4.3999999999999995</v>
          </cell>
          <cell r="AQ40">
            <v>70.8</v>
          </cell>
          <cell r="AR40">
            <v>4.9000000000000004</v>
          </cell>
          <cell r="AS40">
            <v>58.3</v>
          </cell>
          <cell r="AT40">
            <v>22.900000000000002</v>
          </cell>
          <cell r="AU40">
            <v>10.7</v>
          </cell>
          <cell r="AV40">
            <v>4.1000000000000005</v>
          </cell>
          <cell r="AW40" t="str">
            <v>nd</v>
          </cell>
          <cell r="AX40">
            <v>3.1</v>
          </cell>
          <cell r="AY40">
            <v>1.7999999999999998</v>
          </cell>
          <cell r="AZ40">
            <v>2.4</v>
          </cell>
          <cell r="BA40">
            <v>8.1</v>
          </cell>
          <cell r="BB40">
            <v>21.2</v>
          </cell>
          <cell r="BC40">
            <v>53.2</v>
          </cell>
          <cell r="BD40">
            <v>13.200000000000001</v>
          </cell>
          <cell r="BE40" t="str">
            <v>nd</v>
          </cell>
          <cell r="BF40">
            <v>3.6999999999999997</v>
          </cell>
          <cell r="BG40">
            <v>6.3</v>
          </cell>
          <cell r="BH40">
            <v>10.8</v>
          </cell>
          <cell r="BI40">
            <v>44.6</v>
          </cell>
          <cell r="BJ40">
            <v>33.200000000000003</v>
          </cell>
          <cell r="BK40">
            <v>0</v>
          </cell>
          <cell r="BL40">
            <v>0</v>
          </cell>
          <cell r="BM40">
            <v>0</v>
          </cell>
          <cell r="BN40">
            <v>8.3000000000000007</v>
          </cell>
          <cell r="BO40">
            <v>89</v>
          </cell>
          <cell r="BP40">
            <v>2.6</v>
          </cell>
          <cell r="BQ40">
            <v>0</v>
          </cell>
          <cell r="BR40">
            <v>0</v>
          </cell>
          <cell r="BS40" t="str">
            <v>nd</v>
          </cell>
          <cell r="BT40">
            <v>11.4</v>
          </cell>
          <cell r="BU40">
            <v>76.5</v>
          </cell>
          <cell r="BV40">
            <v>11.600000000000001</v>
          </cell>
          <cell r="BW40">
            <v>0</v>
          </cell>
          <cell r="BX40">
            <v>0</v>
          </cell>
          <cell r="BY40">
            <v>0</v>
          </cell>
          <cell r="BZ40" t="str">
            <v>nd</v>
          </cell>
          <cell r="CA40" t="str">
            <v>nd</v>
          </cell>
          <cell r="CB40">
            <v>98.8</v>
          </cell>
          <cell r="CC40">
            <v>19.8</v>
          </cell>
          <cell r="CD40">
            <v>14.2</v>
          </cell>
          <cell r="CE40" t="str">
            <v>nd</v>
          </cell>
          <cell r="CF40" t="str">
            <v>nd</v>
          </cell>
          <cell r="CG40">
            <v>0</v>
          </cell>
          <cell r="CH40">
            <v>11.5</v>
          </cell>
          <cell r="CI40">
            <v>6.2</v>
          </cell>
          <cell r="CJ40">
            <v>61.6</v>
          </cell>
          <cell r="CK40">
            <v>37.6</v>
          </cell>
          <cell r="CL40">
            <v>3.6999999999999997</v>
          </cell>
          <cell r="CM40">
            <v>1.0999999999999999</v>
          </cell>
          <cell r="CN40" t="str">
            <v>nd</v>
          </cell>
          <cell r="CO40">
            <v>60.199999999999996</v>
          </cell>
          <cell r="CP40">
            <v>17.5</v>
          </cell>
          <cell r="CQ40">
            <v>33</v>
          </cell>
          <cell r="CR40">
            <v>13.200000000000001</v>
          </cell>
          <cell r="CS40">
            <v>36.299999999999997</v>
          </cell>
          <cell r="CT40">
            <v>14.000000000000002</v>
          </cell>
          <cell r="CU40">
            <v>86</v>
          </cell>
          <cell r="CV40">
            <v>16</v>
          </cell>
          <cell r="CW40">
            <v>84</v>
          </cell>
          <cell r="CX40">
            <v>23.9</v>
          </cell>
          <cell r="CY40">
            <v>38.9</v>
          </cell>
          <cell r="CZ40">
            <v>37.200000000000003</v>
          </cell>
          <cell r="DA40">
            <v>25.7</v>
          </cell>
          <cell r="DB40" t="str">
            <v>nd</v>
          </cell>
          <cell r="DC40">
            <v>17.299999999999997</v>
          </cell>
          <cell r="DD40" t="str">
            <v>nd</v>
          </cell>
          <cell r="DE40">
            <v>61.199999999999996</v>
          </cell>
          <cell r="DF40">
            <v>18.899999999999999</v>
          </cell>
          <cell r="DG40">
            <v>5.2</v>
          </cell>
          <cell r="DH40">
            <v>8.4</v>
          </cell>
          <cell r="DI40">
            <v>9.7000000000000011</v>
          </cell>
          <cell r="DJ40">
            <v>29.2</v>
          </cell>
          <cell r="DK40">
            <v>28.7</v>
          </cell>
          <cell r="DL40">
            <v>18.3</v>
          </cell>
          <cell r="DM40">
            <v>48.5</v>
          </cell>
          <cell r="DN40">
            <v>5.8000000000000007</v>
          </cell>
          <cell r="DO40">
            <v>16.400000000000002</v>
          </cell>
          <cell r="DP40">
            <v>6.2</v>
          </cell>
          <cell r="DQ40" t="str">
            <v>nd</v>
          </cell>
          <cell r="DR40">
            <v>18.399999999999999</v>
          </cell>
          <cell r="DS40">
            <v>15.8</v>
          </cell>
          <cell r="DT40">
            <v>11.600000000000001</v>
          </cell>
          <cell r="DU40">
            <v>0</v>
          </cell>
          <cell r="DV40">
            <v>0</v>
          </cell>
          <cell r="DW40">
            <v>0</v>
          </cell>
          <cell r="DX40">
            <v>0</v>
          </cell>
          <cell r="DY40">
            <v>0</v>
          </cell>
          <cell r="DZ40">
            <v>1.45153</v>
          </cell>
          <cell r="EA40">
            <v>3.2801200000000001</v>
          </cell>
          <cell r="EB40">
            <v>3.1525799999999999</v>
          </cell>
          <cell r="EC40">
            <v>3.3096000000000001</v>
          </cell>
          <cell r="ED40">
            <v>0</v>
          </cell>
          <cell r="EE40" t="str">
            <v>nd</v>
          </cell>
          <cell r="EF40">
            <v>23.1250182</v>
          </cell>
          <cell r="EG40">
            <v>9.8078756000000009</v>
          </cell>
          <cell r="EH40">
            <v>5.1991899999999998</v>
          </cell>
          <cell r="EI40">
            <v>0.96345999999999998</v>
          </cell>
          <cell r="EJ40">
            <v>0</v>
          </cell>
          <cell r="EK40" t="str">
            <v>nd</v>
          </cell>
          <cell r="EL40">
            <v>25.768100199999999</v>
          </cell>
          <cell r="EM40">
            <v>6.8034540000000003</v>
          </cell>
          <cell r="EN40">
            <v>2.52115</v>
          </cell>
          <cell r="EO40">
            <v>0</v>
          </cell>
          <cell r="EP40" t="str">
            <v>nd</v>
          </cell>
          <cell r="EQ40" t="str">
            <v>nd</v>
          </cell>
          <cell r="ER40">
            <v>7.4238335000000006</v>
          </cell>
          <cell r="ES40">
            <v>3.10955</v>
          </cell>
          <cell r="ET40">
            <v>0</v>
          </cell>
          <cell r="EU40">
            <v>0</v>
          </cell>
          <cell r="EV40">
            <v>0</v>
          </cell>
          <cell r="EW40" t="str">
            <v>nd</v>
          </cell>
          <cell r="EX40">
            <v>0</v>
          </cell>
          <cell r="EY40">
            <v>0</v>
          </cell>
          <cell r="EZ40">
            <v>0</v>
          </cell>
          <cell r="FA40">
            <v>0</v>
          </cell>
          <cell r="FB40">
            <v>0</v>
          </cell>
          <cell r="FC40">
            <v>0</v>
          </cell>
          <cell r="FD40">
            <v>0</v>
          </cell>
          <cell r="FE40" t="str">
            <v>nd</v>
          </cell>
          <cell r="FF40">
            <v>2.0874000000000001</v>
          </cell>
          <cell r="FG40">
            <v>7.4636049999999994</v>
          </cell>
          <cell r="FH40">
            <v>1.9513800000000001</v>
          </cell>
          <cell r="FI40" t="str">
            <v>nd</v>
          </cell>
          <cell r="FJ40">
            <v>1.73238</v>
          </cell>
          <cell r="FK40">
            <v>1.9722199999999999</v>
          </cell>
          <cell r="FL40">
            <v>9.8399408999999984</v>
          </cell>
          <cell r="FM40">
            <v>21.443131000000001</v>
          </cell>
          <cell r="FN40">
            <v>4.10947</v>
          </cell>
          <cell r="FO40" t="str">
            <v>nd</v>
          </cell>
          <cell r="FP40" t="str">
            <v>nd</v>
          </cell>
          <cell r="FQ40">
            <v>4.0609099999999998</v>
          </cell>
          <cell r="FR40">
            <v>5.69869</v>
          </cell>
          <cell r="FS40">
            <v>18.866579399999999</v>
          </cell>
          <cell r="FT40">
            <v>5.7743099999999998</v>
          </cell>
          <cell r="FU40">
            <v>0</v>
          </cell>
          <cell r="FV40">
            <v>0</v>
          </cell>
          <cell r="FW40" t="str">
            <v>nd</v>
          </cell>
          <cell r="FX40">
            <v>3.5700700000000003</v>
          </cell>
          <cell r="FY40">
            <v>5.45404</v>
          </cell>
          <cell r="FZ40" t="str">
            <v>nd</v>
          </cell>
          <cell r="GA40">
            <v>0</v>
          </cell>
          <cell r="GB40">
            <v>0</v>
          </cell>
          <cell r="GC40">
            <v>0</v>
          </cell>
          <cell r="GD40">
            <v>0</v>
          </cell>
          <cell r="GE40">
            <v>0</v>
          </cell>
          <cell r="GF40" t="str">
            <v>nd</v>
          </cell>
          <cell r="GG40" t="str">
            <v>nd</v>
          </cell>
          <cell r="GH40">
            <v>2.8328500000000001</v>
          </cell>
          <cell r="GI40">
            <v>2.4568400000000001</v>
          </cell>
          <cell r="GJ40">
            <v>1.7542200000000001</v>
          </cell>
          <cell r="GK40">
            <v>2.85649</v>
          </cell>
          <cell r="GL40">
            <v>0</v>
          </cell>
          <cell r="GM40" t="str">
            <v>nd</v>
          </cell>
          <cell r="GN40">
            <v>2.6152500000000001</v>
          </cell>
          <cell r="GO40">
            <v>6.6554971000000007</v>
          </cell>
          <cell r="GP40">
            <v>18.272141699999999</v>
          </cell>
          <cell r="GQ40">
            <v>12.6293866</v>
          </cell>
          <cell r="GR40">
            <v>0</v>
          </cell>
          <cell r="GS40" t="str">
            <v>nd</v>
          </cell>
          <cell r="GT40" t="str">
            <v>nd</v>
          </cell>
          <cell r="GU40">
            <v>1.3297600000000001</v>
          </cell>
          <cell r="GV40">
            <v>18.504071100000001</v>
          </cell>
          <cell r="GW40">
            <v>15.0585497</v>
          </cell>
          <cell r="GX40">
            <v>0</v>
          </cell>
          <cell r="GY40" t="str">
            <v>nd</v>
          </cell>
          <cell r="GZ40">
            <v>0</v>
          </cell>
          <cell r="HA40" t="str">
            <v>nd</v>
          </cell>
          <cell r="HB40">
            <v>6.1523099999999999</v>
          </cell>
          <cell r="HC40">
            <v>2.6355499999999998</v>
          </cell>
          <cell r="HD40">
            <v>0</v>
          </cell>
          <cell r="HE40">
            <v>0</v>
          </cell>
          <cell r="HF40">
            <v>0</v>
          </cell>
          <cell r="HG40">
            <v>0</v>
          </cell>
          <cell r="HH40">
            <v>0</v>
          </cell>
          <cell r="HI40">
            <v>0</v>
          </cell>
          <cell r="HJ40">
            <v>0</v>
          </cell>
          <cell r="HK40">
            <v>0</v>
          </cell>
          <cell r="HL40" t="str">
            <v>nd</v>
          </cell>
          <cell r="HM40">
            <v>10.940284</v>
          </cell>
          <cell r="HN40">
            <v>0</v>
          </cell>
          <cell r="HO40">
            <v>0</v>
          </cell>
          <cell r="HP40">
            <v>0</v>
          </cell>
          <cell r="HQ40">
            <v>0</v>
          </cell>
          <cell r="HR40">
            <v>2.9575499999999999</v>
          </cell>
          <cell r="HS40">
            <v>37.1270794</v>
          </cell>
          <cell r="HT40" t="str">
            <v>nd</v>
          </cell>
          <cell r="HU40">
            <v>0</v>
          </cell>
          <cell r="HV40">
            <v>0</v>
          </cell>
          <cell r="HW40">
            <v>0</v>
          </cell>
          <cell r="HX40">
            <v>2.75379</v>
          </cell>
          <cell r="HY40">
            <v>31.207243299999998</v>
          </cell>
          <cell r="HZ40">
            <v>2.1869399999999999</v>
          </cell>
          <cell r="IA40">
            <v>0</v>
          </cell>
          <cell r="IB40">
            <v>0</v>
          </cell>
          <cell r="IC40">
            <v>0</v>
          </cell>
          <cell r="ID40" t="str">
            <v>nd</v>
          </cell>
          <cell r="IE40">
            <v>9.3537335000000006</v>
          </cell>
          <cell r="IF40">
            <v>0</v>
          </cell>
          <cell r="IG40">
            <v>0</v>
          </cell>
          <cell r="IH40">
            <v>0</v>
          </cell>
          <cell r="II40">
            <v>0</v>
          </cell>
          <cell r="IJ40">
            <v>0</v>
          </cell>
          <cell r="IK40">
            <v>0</v>
          </cell>
          <cell r="IL40">
            <v>0</v>
          </cell>
          <cell r="IM40">
            <v>0</v>
          </cell>
          <cell r="IN40">
            <v>0</v>
          </cell>
          <cell r="IO40">
            <v>2.3605</v>
          </cell>
          <cell r="IP40">
            <v>9.9986642999999997</v>
          </cell>
          <cell r="IQ40" t="str">
            <v>nd</v>
          </cell>
          <cell r="IR40">
            <v>0</v>
          </cell>
          <cell r="IS40">
            <v>0</v>
          </cell>
          <cell r="IT40">
            <v>0</v>
          </cell>
          <cell r="IU40">
            <v>3.6662599999999999</v>
          </cell>
          <cell r="IV40">
            <v>34.183085400000003</v>
          </cell>
          <cell r="IW40">
            <v>2.82274</v>
          </cell>
          <cell r="IX40">
            <v>0</v>
          </cell>
          <cell r="IY40">
            <v>0</v>
          </cell>
          <cell r="IZ40" t="str">
            <v>nd</v>
          </cell>
          <cell r="JA40">
            <v>5.7314499999999997</v>
          </cell>
          <cell r="JB40">
            <v>22.559580200000003</v>
          </cell>
          <cell r="JC40">
            <v>6.5242058000000007</v>
          </cell>
          <cell r="JD40">
            <v>0</v>
          </cell>
          <cell r="JE40">
            <v>0</v>
          </cell>
          <cell r="JF40">
            <v>0</v>
          </cell>
          <cell r="JG40">
            <v>0</v>
          </cell>
          <cell r="JH40">
            <v>9.4059749000000004</v>
          </cell>
          <cell r="JI40" t="str">
            <v>nd</v>
          </cell>
          <cell r="JJ40">
            <v>0</v>
          </cell>
          <cell r="JK40">
            <v>0</v>
          </cell>
          <cell r="JL40">
            <v>0</v>
          </cell>
          <cell r="JM40">
            <v>0</v>
          </cell>
          <cell r="JN40">
            <v>0</v>
          </cell>
          <cell r="JO40">
            <v>0</v>
          </cell>
          <cell r="JP40">
            <v>0</v>
          </cell>
          <cell r="JQ40">
            <v>0</v>
          </cell>
          <cell r="JR40">
            <v>0</v>
          </cell>
          <cell r="JS40" t="str">
            <v>nd</v>
          </cell>
          <cell r="JT40">
            <v>12.941426699999999</v>
          </cell>
          <cell r="JU40">
            <v>0</v>
          </cell>
          <cell r="JV40">
            <v>0</v>
          </cell>
          <cell r="JW40">
            <v>0</v>
          </cell>
          <cell r="JX40" t="str">
            <v>nd</v>
          </cell>
          <cell r="JY40">
            <v>0</v>
          </cell>
          <cell r="JZ40">
            <v>40.225799000000002</v>
          </cell>
          <cell r="KA40">
            <v>0</v>
          </cell>
          <cell r="KB40">
            <v>0</v>
          </cell>
          <cell r="KC40">
            <v>0</v>
          </cell>
          <cell r="KD40">
            <v>0</v>
          </cell>
          <cell r="KE40" t="str">
            <v>nd</v>
          </cell>
          <cell r="KF40">
            <v>35.0165364</v>
          </cell>
          <cell r="KG40">
            <v>0</v>
          </cell>
          <cell r="KH40">
            <v>0</v>
          </cell>
          <cell r="KI40">
            <v>0</v>
          </cell>
          <cell r="KJ40">
            <v>0</v>
          </cell>
          <cell r="KK40">
            <v>0</v>
          </cell>
          <cell r="KL40">
            <v>10.611344300000001</v>
          </cell>
          <cell r="KM40">
            <v>66.3</v>
          </cell>
          <cell r="KN40">
            <v>12.3</v>
          </cell>
          <cell r="KO40">
            <v>9.7000000000000011</v>
          </cell>
          <cell r="KP40">
            <v>5.6000000000000005</v>
          </cell>
          <cell r="KQ40">
            <v>6</v>
          </cell>
          <cell r="KR40">
            <v>0.1</v>
          </cell>
          <cell r="KS40">
            <v>64</v>
          </cell>
          <cell r="KT40">
            <v>13.3</v>
          </cell>
          <cell r="KU40">
            <v>9.9</v>
          </cell>
          <cell r="KV40">
            <v>6.1</v>
          </cell>
          <cell r="KW40">
            <v>6.6000000000000005</v>
          </cell>
          <cell r="KX40">
            <v>0.1</v>
          </cell>
          <cell r="KY40"/>
          <cell r="KZ40"/>
          <cell r="LA40"/>
          <cell r="LB40"/>
          <cell r="LC40"/>
          <cell r="LD40"/>
          <cell r="LE40"/>
          <cell r="LF40"/>
          <cell r="LG40"/>
          <cell r="LH40"/>
          <cell r="LI40"/>
          <cell r="LJ40"/>
          <cell r="LK40"/>
          <cell r="LL40"/>
          <cell r="LM40"/>
          <cell r="LN40"/>
          <cell r="LO40"/>
        </row>
        <row r="41">
          <cell r="A41" t="str">
            <v>6C5</v>
          </cell>
          <cell r="B41" t="str">
            <v>41</v>
          </cell>
          <cell r="C41" t="str">
            <v>NAF 17</v>
          </cell>
          <cell r="D41" t="str">
            <v>C5</v>
          </cell>
          <cell r="E41" t="str">
            <v>6</v>
          </cell>
          <cell r="F41">
            <v>0</v>
          </cell>
          <cell r="G41">
            <v>10.7</v>
          </cell>
          <cell r="H41">
            <v>46</v>
          </cell>
          <cell r="I41">
            <v>34.799999999999997</v>
          </cell>
          <cell r="J41">
            <v>8.5</v>
          </cell>
          <cell r="K41">
            <v>81.5</v>
          </cell>
          <cell r="L41">
            <v>5.8000000000000007</v>
          </cell>
          <cell r="M41">
            <v>3.2</v>
          </cell>
          <cell r="N41">
            <v>9.5</v>
          </cell>
          <cell r="O41">
            <v>27.400000000000002</v>
          </cell>
          <cell r="P41">
            <v>32.300000000000004</v>
          </cell>
          <cell r="Q41">
            <v>11.799999999999999</v>
          </cell>
          <cell r="R41">
            <v>7.3999999999999995</v>
          </cell>
          <cell r="S41">
            <v>16.600000000000001</v>
          </cell>
          <cell r="T41">
            <v>46.300000000000004</v>
          </cell>
          <cell r="U41">
            <v>2.4</v>
          </cell>
          <cell r="V41">
            <v>12.8</v>
          </cell>
          <cell r="W41">
            <v>15.6</v>
          </cell>
          <cell r="X41">
            <v>79.400000000000006</v>
          </cell>
          <cell r="Y41">
            <v>5</v>
          </cell>
          <cell r="Z41">
            <v>0</v>
          </cell>
          <cell r="AA41">
            <v>76</v>
          </cell>
          <cell r="AB41">
            <v>9.7000000000000011</v>
          </cell>
          <cell r="AC41">
            <v>37</v>
          </cell>
          <cell r="AD41">
            <v>5.8000000000000007</v>
          </cell>
          <cell r="AE41">
            <v>57.3</v>
          </cell>
          <cell r="AF41">
            <v>42.699999999999996</v>
          </cell>
          <cell r="AG41">
            <v>87.6</v>
          </cell>
          <cell r="AH41">
            <v>12.4</v>
          </cell>
          <cell r="AI41">
            <v>62.5</v>
          </cell>
          <cell r="AJ41">
            <v>3.3000000000000003</v>
          </cell>
          <cell r="AK41">
            <v>2.2999999999999998</v>
          </cell>
          <cell r="AL41">
            <v>28.1</v>
          </cell>
          <cell r="AM41">
            <v>3.8</v>
          </cell>
          <cell r="AN41">
            <v>13.5</v>
          </cell>
          <cell r="AO41">
            <v>3.6999999999999997</v>
          </cell>
          <cell r="AP41">
            <v>11</v>
          </cell>
          <cell r="AQ41">
            <v>45.800000000000004</v>
          </cell>
          <cell r="AR41">
            <v>26</v>
          </cell>
          <cell r="AS41">
            <v>51.300000000000004</v>
          </cell>
          <cell r="AT41">
            <v>27.200000000000003</v>
          </cell>
          <cell r="AU41">
            <v>12.7</v>
          </cell>
          <cell r="AV41">
            <v>6.3</v>
          </cell>
          <cell r="AW41">
            <v>1.6</v>
          </cell>
          <cell r="AX41">
            <v>0.89999999999999991</v>
          </cell>
          <cell r="AY41">
            <v>2.1999999999999997</v>
          </cell>
          <cell r="AZ41">
            <v>5.8999999999999995</v>
          </cell>
          <cell r="BA41">
            <v>12.7</v>
          </cell>
          <cell r="BB41">
            <v>31.3</v>
          </cell>
          <cell r="BC41">
            <v>43.4</v>
          </cell>
          <cell r="BD41">
            <v>4.3999999999999995</v>
          </cell>
          <cell r="BE41">
            <v>0</v>
          </cell>
          <cell r="BF41">
            <v>3</v>
          </cell>
          <cell r="BG41">
            <v>1.4000000000000001</v>
          </cell>
          <cell r="BH41">
            <v>4</v>
          </cell>
          <cell r="BI41">
            <v>47.599999999999994</v>
          </cell>
          <cell r="BJ41">
            <v>44</v>
          </cell>
          <cell r="BK41" t="str">
            <v>nd</v>
          </cell>
          <cell r="BL41">
            <v>0</v>
          </cell>
          <cell r="BM41" t="str">
            <v>nd</v>
          </cell>
          <cell r="BN41">
            <v>7.3</v>
          </cell>
          <cell r="BO41">
            <v>88.9</v>
          </cell>
          <cell r="BP41">
            <v>2.9000000000000004</v>
          </cell>
          <cell r="BQ41">
            <v>0</v>
          </cell>
          <cell r="BR41">
            <v>0</v>
          </cell>
          <cell r="BS41">
            <v>1.0999999999999999</v>
          </cell>
          <cell r="BT41">
            <v>17.399999999999999</v>
          </cell>
          <cell r="BU41">
            <v>72.2</v>
          </cell>
          <cell r="BV41">
            <v>9.3000000000000007</v>
          </cell>
          <cell r="BW41">
            <v>0</v>
          </cell>
          <cell r="BX41">
            <v>0</v>
          </cell>
          <cell r="BY41">
            <v>0</v>
          </cell>
          <cell r="BZ41" t="str">
            <v>nd</v>
          </cell>
          <cell r="CA41">
            <v>3</v>
          </cell>
          <cell r="CB41">
            <v>96.6</v>
          </cell>
          <cell r="CC41">
            <v>19.400000000000002</v>
          </cell>
          <cell r="CD41">
            <v>19.100000000000001</v>
          </cell>
          <cell r="CE41" t="str">
            <v>nd</v>
          </cell>
          <cell r="CF41" t="str">
            <v>nd</v>
          </cell>
          <cell r="CG41" t="str">
            <v>nd</v>
          </cell>
          <cell r="CH41">
            <v>23</v>
          </cell>
          <cell r="CI41">
            <v>5</v>
          </cell>
          <cell r="CJ41">
            <v>58.099999999999994</v>
          </cell>
          <cell r="CK41">
            <v>56.3</v>
          </cell>
          <cell r="CL41">
            <v>18.7</v>
          </cell>
          <cell r="CM41">
            <v>3.5999999999999996</v>
          </cell>
          <cell r="CN41">
            <v>3.2</v>
          </cell>
          <cell r="CO41">
            <v>39.1</v>
          </cell>
          <cell r="CP41">
            <v>14.000000000000002</v>
          </cell>
          <cell r="CQ41">
            <v>45.4</v>
          </cell>
          <cell r="CR41">
            <v>8.7999999999999989</v>
          </cell>
          <cell r="CS41">
            <v>31.8</v>
          </cell>
          <cell r="CT41">
            <v>12.2</v>
          </cell>
          <cell r="CU41">
            <v>87.8</v>
          </cell>
          <cell r="CV41">
            <v>24.099999999999998</v>
          </cell>
          <cell r="CW41">
            <v>75.900000000000006</v>
          </cell>
          <cell r="CX41">
            <v>24.9</v>
          </cell>
          <cell r="CY41">
            <v>37.5</v>
          </cell>
          <cell r="CZ41">
            <v>37.6</v>
          </cell>
          <cell r="DA41">
            <v>37.299999999999997</v>
          </cell>
          <cell r="DB41" t="str">
            <v>nd</v>
          </cell>
          <cell r="DC41">
            <v>7.3999999999999995</v>
          </cell>
          <cell r="DD41" t="str">
            <v>nd</v>
          </cell>
          <cell r="DE41">
            <v>71.899999999999991</v>
          </cell>
          <cell r="DF41">
            <v>21.6</v>
          </cell>
          <cell r="DG41">
            <v>4.9000000000000004</v>
          </cell>
          <cell r="DH41">
            <v>8.3000000000000007</v>
          </cell>
          <cell r="DI41">
            <v>19.8</v>
          </cell>
          <cell r="DJ41">
            <v>25.8</v>
          </cell>
          <cell r="DK41">
            <v>19.5</v>
          </cell>
          <cell r="DL41">
            <v>14.2</v>
          </cell>
          <cell r="DM41">
            <v>48.1</v>
          </cell>
          <cell r="DN41">
            <v>6.1</v>
          </cell>
          <cell r="DO41">
            <v>33.200000000000003</v>
          </cell>
          <cell r="DP41">
            <v>5.3</v>
          </cell>
          <cell r="DQ41">
            <v>4.5</v>
          </cell>
          <cell r="DR41">
            <v>9.7000000000000011</v>
          </cell>
          <cell r="DS41">
            <v>23.1</v>
          </cell>
          <cell r="DT41">
            <v>12.6</v>
          </cell>
          <cell r="DU41">
            <v>0</v>
          </cell>
          <cell r="DV41">
            <v>0</v>
          </cell>
          <cell r="DW41">
            <v>0</v>
          </cell>
          <cell r="DX41">
            <v>0</v>
          </cell>
          <cell r="DY41">
            <v>0</v>
          </cell>
          <cell r="DZ41">
            <v>2.92408</v>
          </cell>
          <cell r="EA41">
            <v>1.3089200000000001</v>
          </cell>
          <cell r="EB41">
            <v>4.2163500000000003</v>
          </cell>
          <cell r="EC41" t="str">
            <v>nd</v>
          </cell>
          <cell r="ED41" t="str">
            <v>nd</v>
          </cell>
          <cell r="EE41">
            <v>0</v>
          </cell>
          <cell r="EF41">
            <v>27.219843300000001</v>
          </cell>
          <cell r="EG41">
            <v>10.4990056</v>
          </cell>
          <cell r="EH41">
            <v>5.9926399999999997</v>
          </cell>
          <cell r="EI41">
            <v>2.3862399999999999</v>
          </cell>
          <cell r="EJ41">
            <v>0.62036499999999994</v>
          </cell>
          <cell r="EK41" t="str">
            <v>nd</v>
          </cell>
          <cell r="EL41">
            <v>15.532438800000001</v>
          </cell>
          <cell r="EM41">
            <v>13.4726991</v>
          </cell>
          <cell r="EN41">
            <v>1.7158500000000001</v>
          </cell>
          <cell r="EO41">
            <v>3.1625700000000001</v>
          </cell>
          <cell r="EP41" t="str">
            <v>nd</v>
          </cell>
          <cell r="EQ41">
            <v>0.46716300000000005</v>
          </cell>
          <cell r="ER41">
            <v>5.5202800000000005</v>
          </cell>
          <cell r="ES41">
            <v>2.0310700000000002</v>
          </cell>
          <cell r="ET41" t="str">
            <v>nd</v>
          </cell>
          <cell r="EU41">
            <v>0</v>
          </cell>
          <cell r="EV41" t="str">
            <v>nd</v>
          </cell>
          <cell r="EW41">
            <v>0</v>
          </cell>
          <cell r="EX41">
            <v>0</v>
          </cell>
          <cell r="EY41">
            <v>0</v>
          </cell>
          <cell r="EZ41">
            <v>0</v>
          </cell>
          <cell r="FA41">
            <v>0</v>
          </cell>
          <cell r="FB41">
            <v>0</v>
          </cell>
          <cell r="FC41">
            <v>0</v>
          </cell>
          <cell r="FD41">
            <v>0</v>
          </cell>
          <cell r="FE41" t="str">
            <v>nd</v>
          </cell>
          <cell r="FF41">
            <v>1.56673</v>
          </cell>
          <cell r="FG41">
            <v>6.6611589000000002</v>
          </cell>
          <cell r="FH41">
            <v>0.63298599999999994</v>
          </cell>
          <cell r="FI41" t="str">
            <v>nd</v>
          </cell>
          <cell r="FJ41">
            <v>2.62046</v>
          </cell>
          <cell r="FK41">
            <v>4.7367999999999997</v>
          </cell>
          <cell r="FL41">
            <v>15.079564700000001</v>
          </cell>
          <cell r="FM41">
            <v>21.675238699999998</v>
          </cell>
          <cell r="FN41">
            <v>1.6628000000000001</v>
          </cell>
          <cell r="FO41">
            <v>1.46271</v>
          </cell>
          <cell r="FP41">
            <v>3.1935600000000002</v>
          </cell>
          <cell r="FQ41">
            <v>4.9503199999999996</v>
          </cell>
          <cell r="FR41">
            <v>12.9787648</v>
          </cell>
          <cell r="FS41">
            <v>11.117783300000001</v>
          </cell>
          <cell r="FT41">
            <v>1.49248</v>
          </cell>
          <cell r="FU41" t="str">
            <v>nd</v>
          </cell>
          <cell r="FV41" t="str">
            <v>nd</v>
          </cell>
          <cell r="FW41">
            <v>1.9488799999999999</v>
          </cell>
          <cell r="FX41">
            <v>1.49413</v>
          </cell>
          <cell r="FY41">
            <v>4.1285400000000001</v>
          </cell>
          <cell r="FZ41">
            <v>0.63495400000000002</v>
          </cell>
          <cell r="GA41">
            <v>0</v>
          </cell>
          <cell r="GB41">
            <v>0</v>
          </cell>
          <cell r="GC41">
            <v>0</v>
          </cell>
          <cell r="GD41">
            <v>0</v>
          </cell>
          <cell r="GE41">
            <v>0</v>
          </cell>
          <cell r="GF41">
            <v>0</v>
          </cell>
          <cell r="GG41" t="str">
            <v>nd</v>
          </cell>
          <cell r="GH41">
            <v>1.2545900000000001</v>
          </cell>
          <cell r="GI41">
            <v>0</v>
          </cell>
          <cell r="GJ41">
            <v>5.6380699999999999</v>
          </cell>
          <cell r="GK41">
            <v>1.7507600000000001</v>
          </cell>
          <cell r="GL41">
            <v>0</v>
          </cell>
          <cell r="GM41">
            <v>1.6151700000000002</v>
          </cell>
          <cell r="GN41" t="str">
            <v>nd</v>
          </cell>
          <cell r="GO41">
            <v>3.16248</v>
          </cell>
          <cell r="GP41">
            <v>27.5720077</v>
          </cell>
          <cell r="GQ41">
            <v>13.6461109</v>
          </cell>
          <cell r="GR41">
            <v>0</v>
          </cell>
          <cell r="GS41">
            <v>0</v>
          </cell>
          <cell r="GT41">
            <v>0</v>
          </cell>
          <cell r="GU41">
            <v>0</v>
          </cell>
          <cell r="GV41">
            <v>9.5836864999999989</v>
          </cell>
          <cell r="GW41">
            <v>25.606170299999999</v>
          </cell>
          <cell r="GX41">
            <v>0</v>
          </cell>
          <cell r="GY41">
            <v>0</v>
          </cell>
          <cell r="GZ41">
            <v>0</v>
          </cell>
          <cell r="HA41" t="str">
            <v>nd</v>
          </cell>
          <cell r="HB41">
            <v>4.6827699999999997</v>
          </cell>
          <cell r="HC41">
            <v>3.0627399999999998</v>
          </cell>
          <cell r="HD41">
            <v>0</v>
          </cell>
          <cell r="HE41">
            <v>0</v>
          </cell>
          <cell r="HF41">
            <v>0</v>
          </cell>
          <cell r="HG41">
            <v>0</v>
          </cell>
          <cell r="HH41">
            <v>0</v>
          </cell>
          <cell r="HI41">
            <v>0</v>
          </cell>
          <cell r="HJ41">
            <v>0</v>
          </cell>
          <cell r="HK41">
            <v>0</v>
          </cell>
          <cell r="HL41">
            <v>1.7504599999999999</v>
          </cell>
          <cell r="HM41">
            <v>8.2645230999999999</v>
          </cell>
          <cell r="HN41">
            <v>0</v>
          </cell>
          <cell r="HO41">
            <v>0</v>
          </cell>
          <cell r="HP41">
            <v>0</v>
          </cell>
          <cell r="HQ41">
            <v>0</v>
          </cell>
          <cell r="HR41">
            <v>3.4884300000000001</v>
          </cell>
          <cell r="HS41">
            <v>41.510185700000001</v>
          </cell>
          <cell r="HT41" t="str">
            <v>nd</v>
          </cell>
          <cell r="HU41" t="str">
            <v>nd</v>
          </cell>
          <cell r="HV41">
            <v>0</v>
          </cell>
          <cell r="HW41">
            <v>0</v>
          </cell>
          <cell r="HX41">
            <v>0.68476599999999999</v>
          </cell>
          <cell r="HY41">
            <v>33.092939199999996</v>
          </cell>
          <cell r="HZ41">
            <v>0.91246000000000005</v>
          </cell>
          <cell r="IA41">
            <v>0</v>
          </cell>
          <cell r="IB41">
            <v>0</v>
          </cell>
          <cell r="IC41" t="str">
            <v>nd</v>
          </cell>
          <cell r="ID41" t="str">
            <v>nd</v>
          </cell>
          <cell r="IE41">
            <v>6.0583</v>
          </cell>
          <cell r="IF41" t="str">
            <v>nd</v>
          </cell>
          <cell r="IG41">
            <v>0</v>
          </cell>
          <cell r="IH41">
            <v>0</v>
          </cell>
          <cell r="II41">
            <v>0</v>
          </cell>
          <cell r="IJ41">
            <v>0</v>
          </cell>
          <cell r="IK41">
            <v>0</v>
          </cell>
          <cell r="IL41">
            <v>0</v>
          </cell>
          <cell r="IM41">
            <v>0</v>
          </cell>
          <cell r="IN41" t="str">
            <v>nd</v>
          </cell>
          <cell r="IO41">
            <v>3.8049600000000003</v>
          </cell>
          <cell r="IP41">
            <v>4.44468</v>
          </cell>
          <cell r="IQ41">
            <v>1.1736</v>
          </cell>
          <cell r="IR41">
            <v>0</v>
          </cell>
          <cell r="IS41">
            <v>0</v>
          </cell>
          <cell r="IT41" t="str">
            <v>nd</v>
          </cell>
          <cell r="IU41">
            <v>7.9236480999999994</v>
          </cell>
          <cell r="IV41">
            <v>35.091534600000003</v>
          </cell>
          <cell r="IW41">
            <v>3.3295400000000002</v>
          </cell>
          <cell r="IX41">
            <v>0</v>
          </cell>
          <cell r="IY41">
            <v>0</v>
          </cell>
          <cell r="IZ41" t="str">
            <v>nd</v>
          </cell>
          <cell r="JA41">
            <v>3.8064300000000002</v>
          </cell>
          <cell r="JB41">
            <v>28.859982699999996</v>
          </cell>
          <cell r="JC41">
            <v>1.6738500000000001</v>
          </cell>
          <cell r="JD41">
            <v>0</v>
          </cell>
          <cell r="JE41">
            <v>0</v>
          </cell>
          <cell r="JF41">
            <v>0</v>
          </cell>
          <cell r="JG41">
            <v>1.85541</v>
          </cell>
          <cell r="JH41">
            <v>3.7972299999999999</v>
          </cell>
          <cell r="JI41">
            <v>3.1103700000000001</v>
          </cell>
          <cell r="JJ41">
            <v>0</v>
          </cell>
          <cell r="JK41">
            <v>0</v>
          </cell>
          <cell r="JL41">
            <v>0</v>
          </cell>
          <cell r="JM41">
            <v>0</v>
          </cell>
          <cell r="JN41">
            <v>0</v>
          </cell>
          <cell r="JO41">
            <v>0</v>
          </cell>
          <cell r="JP41">
            <v>0</v>
          </cell>
          <cell r="JQ41">
            <v>0</v>
          </cell>
          <cell r="JR41" t="str">
            <v>nd</v>
          </cell>
          <cell r="JS41" t="str">
            <v>nd</v>
          </cell>
          <cell r="JT41">
            <v>8.8122398999999998</v>
          </cell>
          <cell r="JU41">
            <v>0</v>
          </cell>
          <cell r="JV41">
            <v>0</v>
          </cell>
          <cell r="JW41">
            <v>0</v>
          </cell>
          <cell r="JX41" t="str">
            <v>nd</v>
          </cell>
          <cell r="JY41">
            <v>0.97411999999999999</v>
          </cell>
          <cell r="JZ41">
            <v>44.843403899999998</v>
          </cell>
          <cell r="KA41">
            <v>0</v>
          </cell>
          <cell r="KB41">
            <v>0</v>
          </cell>
          <cell r="KC41">
            <v>0</v>
          </cell>
          <cell r="KD41">
            <v>0</v>
          </cell>
          <cell r="KE41" t="str">
            <v>nd</v>
          </cell>
          <cell r="KF41">
            <v>34.344436299999998</v>
          </cell>
          <cell r="KG41">
            <v>0</v>
          </cell>
          <cell r="KH41">
            <v>0</v>
          </cell>
          <cell r="KI41">
            <v>0</v>
          </cell>
          <cell r="KJ41">
            <v>0</v>
          </cell>
          <cell r="KK41">
            <v>0</v>
          </cell>
          <cell r="KL41">
            <v>8.6325813</v>
          </cell>
          <cell r="KM41">
            <v>64.5</v>
          </cell>
          <cell r="KN41">
            <v>17.899999999999999</v>
          </cell>
          <cell r="KO41">
            <v>4.8</v>
          </cell>
          <cell r="KP41">
            <v>5.7</v>
          </cell>
          <cell r="KQ41">
            <v>6.9</v>
          </cell>
          <cell r="KR41">
            <v>0.2</v>
          </cell>
          <cell r="KS41">
            <v>62</v>
          </cell>
          <cell r="KT41">
            <v>19</v>
          </cell>
          <cell r="KU41">
            <v>4.8</v>
          </cell>
          <cell r="KV41">
            <v>6</v>
          </cell>
          <cell r="KW41">
            <v>7.9</v>
          </cell>
          <cell r="KX41">
            <v>0.2</v>
          </cell>
          <cell r="KY41"/>
          <cell r="KZ41"/>
          <cell r="LA41"/>
          <cell r="LB41"/>
          <cell r="LC41"/>
          <cell r="LD41"/>
          <cell r="LE41"/>
          <cell r="LF41"/>
          <cell r="LG41"/>
          <cell r="LH41"/>
          <cell r="LI41"/>
          <cell r="LJ41"/>
          <cell r="LK41"/>
          <cell r="LL41"/>
          <cell r="LM41"/>
          <cell r="LN41"/>
          <cell r="LO41"/>
        </row>
        <row r="42">
          <cell r="A42" t="str">
            <v>EnsDE</v>
          </cell>
          <cell r="B42" t="str">
            <v>42</v>
          </cell>
          <cell r="C42" t="str">
            <v>NAF 17</v>
          </cell>
          <cell r="D42" t="str">
            <v>DE</v>
          </cell>
          <cell r="E42" t="str">
            <v/>
          </cell>
          <cell r="F42" t="str">
            <v>nd</v>
          </cell>
          <cell r="G42">
            <v>1.2</v>
          </cell>
          <cell r="H42">
            <v>55.500000000000007</v>
          </cell>
          <cell r="I42">
            <v>40.5</v>
          </cell>
          <cell r="J42">
            <v>2.7</v>
          </cell>
          <cell r="K42">
            <v>79.600000000000009</v>
          </cell>
          <cell r="L42">
            <v>15.1</v>
          </cell>
          <cell r="M42">
            <v>4.3</v>
          </cell>
          <cell r="N42">
            <v>1.0999999999999999</v>
          </cell>
          <cell r="O42">
            <v>40.1</v>
          </cell>
          <cell r="P42">
            <v>29.599999999999998</v>
          </cell>
          <cell r="Q42">
            <v>7.5</v>
          </cell>
          <cell r="R42">
            <v>18.7</v>
          </cell>
          <cell r="S42">
            <v>4.5</v>
          </cell>
          <cell r="T42">
            <v>25.8</v>
          </cell>
          <cell r="U42">
            <v>9</v>
          </cell>
          <cell r="V42">
            <v>18.5</v>
          </cell>
          <cell r="W42">
            <v>4.8</v>
          </cell>
          <cell r="X42">
            <v>93.600000000000009</v>
          </cell>
          <cell r="Y42">
            <v>1.6</v>
          </cell>
          <cell r="Z42" t="str">
            <v>nd</v>
          </cell>
          <cell r="AA42">
            <v>95.6</v>
          </cell>
          <cell r="AB42">
            <v>0</v>
          </cell>
          <cell r="AC42">
            <v>97.8</v>
          </cell>
          <cell r="AD42">
            <v>0</v>
          </cell>
          <cell r="AE42">
            <v>25.7</v>
          </cell>
          <cell r="AF42">
            <v>74.3</v>
          </cell>
          <cell r="AG42">
            <v>76.599999999999994</v>
          </cell>
          <cell r="AH42">
            <v>23.400000000000002</v>
          </cell>
          <cell r="AI42">
            <v>33.700000000000003</v>
          </cell>
          <cell r="AJ42">
            <v>0</v>
          </cell>
          <cell r="AK42">
            <v>2</v>
          </cell>
          <cell r="AL42">
            <v>49.4</v>
          </cell>
          <cell r="AM42">
            <v>14.899999999999999</v>
          </cell>
          <cell r="AN42" t="str">
            <v>nd</v>
          </cell>
          <cell r="AO42" t="str">
            <v>nd</v>
          </cell>
          <cell r="AP42" t="str">
            <v>nd</v>
          </cell>
          <cell r="AQ42">
            <v>60.199999999999996</v>
          </cell>
          <cell r="AR42">
            <v>35.199999999999996</v>
          </cell>
          <cell r="AS42">
            <v>41.9</v>
          </cell>
          <cell r="AT42">
            <v>44.4</v>
          </cell>
          <cell r="AU42">
            <v>8.5</v>
          </cell>
          <cell r="AV42">
            <v>2.5</v>
          </cell>
          <cell r="AW42" t="str">
            <v>nd</v>
          </cell>
          <cell r="AX42">
            <v>1.7000000000000002</v>
          </cell>
          <cell r="AY42" t="str">
            <v>nd</v>
          </cell>
          <cell r="AZ42">
            <v>9.6</v>
          </cell>
          <cell r="BA42">
            <v>24.8</v>
          </cell>
          <cell r="BB42">
            <v>19.5</v>
          </cell>
          <cell r="BC42">
            <v>32.200000000000003</v>
          </cell>
          <cell r="BD42">
            <v>13.900000000000002</v>
          </cell>
          <cell r="BE42">
            <v>0</v>
          </cell>
          <cell r="BF42">
            <v>0</v>
          </cell>
          <cell r="BG42" t="str">
            <v>nd</v>
          </cell>
          <cell r="BH42">
            <v>0.4</v>
          </cell>
          <cell r="BI42">
            <v>21.7</v>
          </cell>
          <cell r="BJ42">
            <v>77.400000000000006</v>
          </cell>
          <cell r="BK42">
            <v>0</v>
          </cell>
          <cell r="BL42">
            <v>0</v>
          </cell>
          <cell r="BM42">
            <v>0</v>
          </cell>
          <cell r="BN42">
            <v>1.9</v>
          </cell>
          <cell r="BO42">
            <v>89.7</v>
          </cell>
          <cell r="BP42">
            <v>8.4</v>
          </cell>
          <cell r="BQ42" t="str">
            <v>nd</v>
          </cell>
          <cell r="BR42" t="str">
            <v>nd</v>
          </cell>
          <cell r="BS42">
            <v>0.4</v>
          </cell>
          <cell r="BT42">
            <v>5.3</v>
          </cell>
          <cell r="BU42">
            <v>83.6</v>
          </cell>
          <cell r="BV42">
            <v>10.299999999999999</v>
          </cell>
          <cell r="BW42">
            <v>0</v>
          </cell>
          <cell r="BX42">
            <v>0</v>
          </cell>
          <cell r="BY42">
            <v>0</v>
          </cell>
          <cell r="BZ42" t="str">
            <v>nd</v>
          </cell>
          <cell r="CA42" t="str">
            <v>nd</v>
          </cell>
          <cell r="CB42">
            <v>99.6</v>
          </cell>
          <cell r="CC42">
            <v>35.9</v>
          </cell>
          <cell r="CD42">
            <v>6</v>
          </cell>
          <cell r="CE42">
            <v>0</v>
          </cell>
          <cell r="CF42" t="str">
            <v>nd</v>
          </cell>
          <cell r="CG42">
            <v>0</v>
          </cell>
          <cell r="CH42">
            <v>6.3</v>
          </cell>
          <cell r="CI42">
            <v>3.1</v>
          </cell>
          <cell r="CJ42">
            <v>55.400000000000006</v>
          </cell>
          <cell r="CK42">
            <v>23.799999999999997</v>
          </cell>
          <cell r="CL42">
            <v>4.7</v>
          </cell>
          <cell r="CM42">
            <v>0.89999999999999991</v>
          </cell>
          <cell r="CN42">
            <v>0</v>
          </cell>
          <cell r="CO42">
            <v>74.2</v>
          </cell>
          <cell r="CP42">
            <v>5.6000000000000005</v>
          </cell>
          <cell r="CQ42">
            <v>43.7</v>
          </cell>
          <cell r="CR42">
            <v>1.3</v>
          </cell>
          <cell r="CS42">
            <v>49.5</v>
          </cell>
          <cell r="CT42">
            <v>6.9</v>
          </cell>
          <cell r="CU42">
            <v>93.100000000000009</v>
          </cell>
          <cell r="CV42">
            <v>6.9</v>
          </cell>
          <cell r="CW42">
            <v>93.100000000000009</v>
          </cell>
          <cell r="CX42">
            <v>6.2</v>
          </cell>
          <cell r="CY42">
            <v>10.4</v>
          </cell>
          <cell r="CZ42">
            <v>83.399999999999991</v>
          </cell>
          <cell r="DA42">
            <v>9.5</v>
          </cell>
          <cell r="DB42" t="str">
            <v>nd</v>
          </cell>
          <cell r="DC42">
            <v>11.899999999999999</v>
          </cell>
          <cell r="DD42" t="str">
            <v>nd</v>
          </cell>
          <cell r="DE42">
            <v>78.600000000000009</v>
          </cell>
          <cell r="DF42">
            <v>11.200000000000001</v>
          </cell>
          <cell r="DG42">
            <v>8.9</v>
          </cell>
          <cell r="DH42">
            <v>45.300000000000004</v>
          </cell>
          <cell r="DI42">
            <v>10.8</v>
          </cell>
          <cell r="DJ42">
            <v>15.9</v>
          </cell>
          <cell r="DK42">
            <v>7.8</v>
          </cell>
          <cell r="DL42">
            <v>24.7</v>
          </cell>
          <cell r="DM42">
            <v>47.199999999999996</v>
          </cell>
          <cell r="DN42">
            <v>7.3</v>
          </cell>
          <cell r="DO42">
            <v>40.300000000000004</v>
          </cell>
          <cell r="DP42">
            <v>2.6</v>
          </cell>
          <cell r="DQ42">
            <v>6</v>
          </cell>
          <cell r="DR42">
            <v>2.5</v>
          </cell>
          <cell r="DS42">
            <v>12.5</v>
          </cell>
          <cell r="DT42">
            <v>13.900000000000002</v>
          </cell>
          <cell r="DU42" t="str">
            <v>nd</v>
          </cell>
          <cell r="DV42">
            <v>0</v>
          </cell>
          <cell r="DW42">
            <v>0</v>
          </cell>
          <cell r="DX42">
            <v>0</v>
          </cell>
          <cell r="DY42">
            <v>0</v>
          </cell>
          <cell r="DZ42">
            <v>0.52901500000000001</v>
          </cell>
          <cell r="EA42">
            <v>0.644119</v>
          </cell>
          <cell r="EB42">
            <v>0</v>
          </cell>
          <cell r="EC42">
            <v>0</v>
          </cell>
          <cell r="ED42">
            <v>0</v>
          </cell>
          <cell r="EE42">
            <v>0</v>
          </cell>
          <cell r="EF42">
            <v>7.7676163000000003</v>
          </cell>
          <cell r="EG42">
            <v>40.3384097</v>
          </cell>
          <cell r="EH42" t="str">
            <v>nd</v>
          </cell>
          <cell r="EI42">
            <v>2.3990800000000001</v>
          </cell>
          <cell r="EJ42" t="str">
            <v>nd</v>
          </cell>
          <cell r="EK42">
            <v>0.51781100000000002</v>
          </cell>
          <cell r="EL42">
            <v>31.901468100000002</v>
          </cell>
          <cell r="EM42">
            <v>3.4586100000000002</v>
          </cell>
          <cell r="EN42">
            <v>3.9224099999999997</v>
          </cell>
          <cell r="EO42" t="str">
            <v>nd</v>
          </cell>
          <cell r="EP42">
            <v>0</v>
          </cell>
          <cell r="EQ42">
            <v>1.18391</v>
          </cell>
          <cell r="ER42">
            <v>1.5823700000000001</v>
          </cell>
          <cell r="ES42">
            <v>0</v>
          </cell>
          <cell r="ET42" t="str">
            <v>nd</v>
          </cell>
          <cell r="EU42">
            <v>0</v>
          </cell>
          <cell r="EV42" t="str">
            <v>nd</v>
          </cell>
          <cell r="EW42" t="str">
            <v>nd</v>
          </cell>
          <cell r="EX42">
            <v>0</v>
          </cell>
          <cell r="EY42" t="str">
            <v>nd</v>
          </cell>
          <cell r="EZ42">
            <v>0</v>
          </cell>
          <cell r="FA42">
            <v>0</v>
          </cell>
          <cell r="FB42">
            <v>0</v>
          </cell>
          <cell r="FC42">
            <v>0</v>
          </cell>
          <cell r="FD42">
            <v>0</v>
          </cell>
          <cell r="FE42">
            <v>0</v>
          </cell>
          <cell r="FF42" t="str">
            <v>nd</v>
          </cell>
          <cell r="FG42" t="str">
            <v>nd</v>
          </cell>
          <cell r="FH42">
            <v>0.60443000000000002</v>
          </cell>
          <cell r="FI42">
            <v>0</v>
          </cell>
          <cell r="FJ42">
            <v>5.7445399999999998</v>
          </cell>
          <cell r="FK42">
            <v>23.778141899999998</v>
          </cell>
          <cell r="FL42">
            <v>14.498639499999999</v>
          </cell>
          <cell r="FM42">
            <v>7.8186118999999996</v>
          </cell>
          <cell r="FN42">
            <v>4.1551200000000001</v>
          </cell>
          <cell r="FO42" t="str">
            <v>nd</v>
          </cell>
          <cell r="FP42">
            <v>3.9230899999999997</v>
          </cell>
          <cell r="FQ42">
            <v>0.769007</v>
          </cell>
          <cell r="FR42">
            <v>4.1607599999999998</v>
          </cell>
          <cell r="FS42">
            <v>23.056972399999999</v>
          </cell>
          <cell r="FT42">
            <v>8.2153491999999986</v>
          </cell>
          <cell r="FU42" t="str">
            <v>nd</v>
          </cell>
          <cell r="FV42">
            <v>0</v>
          </cell>
          <cell r="FW42" t="str">
            <v>nd</v>
          </cell>
          <cell r="FX42" t="str">
            <v>nd</v>
          </cell>
          <cell r="FY42">
            <v>1.06436</v>
          </cell>
          <cell r="FZ42">
            <v>0.88385999999999998</v>
          </cell>
          <cell r="GA42">
            <v>0</v>
          </cell>
          <cell r="GB42">
            <v>0</v>
          </cell>
          <cell r="GC42">
            <v>0</v>
          </cell>
          <cell r="GD42">
            <v>0</v>
          </cell>
          <cell r="GE42" t="str">
            <v>nd</v>
          </cell>
          <cell r="GF42">
            <v>0</v>
          </cell>
          <cell r="GG42">
            <v>0</v>
          </cell>
          <cell r="GH42" t="str">
            <v>nd</v>
          </cell>
          <cell r="GI42">
            <v>0</v>
          </cell>
          <cell r="GJ42">
            <v>0.99108000000000007</v>
          </cell>
          <cell r="GK42" t="str">
            <v>nd</v>
          </cell>
          <cell r="GL42">
            <v>0</v>
          </cell>
          <cell r="GM42">
            <v>0</v>
          </cell>
          <cell r="GN42" t="str">
            <v>nd</v>
          </cell>
          <cell r="GO42" t="str">
            <v>nd</v>
          </cell>
          <cell r="GP42">
            <v>12.7280692</v>
          </cell>
          <cell r="GQ42">
            <v>42.877401999999996</v>
          </cell>
          <cell r="GR42">
            <v>0</v>
          </cell>
          <cell r="GS42">
            <v>0</v>
          </cell>
          <cell r="GT42">
            <v>0</v>
          </cell>
          <cell r="GU42" t="str">
            <v>nd</v>
          </cell>
          <cell r="GV42">
            <v>7.7378220999999998</v>
          </cell>
          <cell r="GW42">
            <v>32.3899671</v>
          </cell>
          <cell r="GX42">
            <v>0</v>
          </cell>
          <cell r="GY42">
            <v>0</v>
          </cell>
          <cell r="GZ42">
            <v>0</v>
          </cell>
          <cell r="HA42" t="str">
            <v>nd</v>
          </cell>
          <cell r="HB42" t="str">
            <v>nd</v>
          </cell>
          <cell r="HC42">
            <v>1.91537</v>
          </cell>
          <cell r="HD42">
            <v>0</v>
          </cell>
          <cell r="HE42" t="str">
            <v>nd</v>
          </cell>
          <cell r="HF42">
            <v>0</v>
          </cell>
          <cell r="HG42">
            <v>0</v>
          </cell>
          <cell r="HH42">
            <v>0</v>
          </cell>
          <cell r="HI42">
            <v>0</v>
          </cell>
          <cell r="HJ42">
            <v>0</v>
          </cell>
          <cell r="HK42">
            <v>0</v>
          </cell>
          <cell r="HL42">
            <v>0</v>
          </cell>
          <cell r="HM42" t="str">
            <v>nd</v>
          </cell>
          <cell r="HN42">
            <v>0.96072000000000002</v>
          </cell>
          <cell r="HO42">
            <v>0</v>
          </cell>
          <cell r="HP42">
            <v>0</v>
          </cell>
          <cell r="HQ42">
            <v>0</v>
          </cell>
          <cell r="HR42">
            <v>0.93694</v>
          </cell>
          <cell r="HS42">
            <v>53.725582599999996</v>
          </cell>
          <cell r="HT42">
            <v>2.66899</v>
          </cell>
          <cell r="HU42">
            <v>0</v>
          </cell>
          <cell r="HV42">
            <v>0</v>
          </cell>
          <cell r="HW42">
            <v>0</v>
          </cell>
          <cell r="HX42">
            <v>0.80321999999999993</v>
          </cell>
          <cell r="HY42">
            <v>33.031381599999996</v>
          </cell>
          <cell r="HZ42">
            <v>4.5589499999999994</v>
          </cell>
          <cell r="IA42">
            <v>0</v>
          </cell>
          <cell r="IB42">
            <v>0</v>
          </cell>
          <cell r="IC42">
            <v>0</v>
          </cell>
          <cell r="ID42" t="str">
            <v>nd</v>
          </cell>
          <cell r="IE42">
            <v>2.6350100000000003</v>
          </cell>
          <cell r="IF42" t="str">
            <v>nd</v>
          </cell>
          <cell r="IG42">
            <v>0</v>
          </cell>
          <cell r="IH42" t="str">
            <v>nd</v>
          </cell>
          <cell r="II42">
            <v>0</v>
          </cell>
          <cell r="IJ42">
            <v>0</v>
          </cell>
          <cell r="IK42">
            <v>0</v>
          </cell>
          <cell r="IL42">
            <v>0</v>
          </cell>
          <cell r="IM42">
            <v>0</v>
          </cell>
          <cell r="IN42">
            <v>0</v>
          </cell>
          <cell r="IO42">
            <v>0</v>
          </cell>
          <cell r="IP42">
            <v>0.385905</v>
          </cell>
          <cell r="IQ42">
            <v>0.88020000000000009</v>
          </cell>
          <cell r="IR42">
            <v>0</v>
          </cell>
          <cell r="IS42">
            <v>0</v>
          </cell>
          <cell r="IT42">
            <v>0</v>
          </cell>
          <cell r="IU42" t="str">
            <v>nd</v>
          </cell>
          <cell r="IV42">
            <v>49.9449136</v>
          </cell>
          <cell r="IW42">
            <v>2.0864400000000001</v>
          </cell>
          <cell r="IX42" t="str">
            <v>nd</v>
          </cell>
          <cell r="IY42" t="str">
            <v>nd</v>
          </cell>
          <cell r="IZ42">
            <v>0.42042299999999999</v>
          </cell>
          <cell r="JA42">
            <v>1.3258000000000001</v>
          </cell>
          <cell r="JB42">
            <v>31.420223800000002</v>
          </cell>
          <cell r="JC42">
            <v>7.2168730999999999</v>
          </cell>
          <cell r="JD42">
            <v>0</v>
          </cell>
          <cell r="JE42">
            <v>0</v>
          </cell>
          <cell r="JF42">
            <v>0</v>
          </cell>
          <cell r="JG42" t="str">
            <v>nd</v>
          </cell>
          <cell r="JH42">
            <v>1.6626999999999998</v>
          </cell>
          <cell r="JI42" t="str">
            <v>nd</v>
          </cell>
          <cell r="JJ42">
            <v>0</v>
          </cell>
          <cell r="JK42">
            <v>0</v>
          </cell>
          <cell r="JL42">
            <v>0</v>
          </cell>
          <cell r="JM42">
            <v>0</v>
          </cell>
          <cell r="JN42" t="str">
            <v>nd</v>
          </cell>
          <cell r="JO42">
            <v>0</v>
          </cell>
          <cell r="JP42">
            <v>0</v>
          </cell>
          <cell r="JQ42">
            <v>0</v>
          </cell>
          <cell r="JR42">
            <v>0</v>
          </cell>
          <cell r="JS42">
            <v>0</v>
          </cell>
          <cell r="JT42">
            <v>1.2661</v>
          </cell>
          <cell r="JU42">
            <v>0</v>
          </cell>
          <cell r="JV42">
            <v>0</v>
          </cell>
          <cell r="JW42">
            <v>0</v>
          </cell>
          <cell r="JX42">
            <v>0</v>
          </cell>
          <cell r="JY42" t="str">
            <v>nd</v>
          </cell>
          <cell r="JZ42">
            <v>55.742692500000004</v>
          </cell>
          <cell r="KA42">
            <v>0</v>
          </cell>
          <cell r="KB42">
            <v>0</v>
          </cell>
          <cell r="KC42">
            <v>0</v>
          </cell>
          <cell r="KD42" t="str">
            <v>nd</v>
          </cell>
          <cell r="KE42">
            <v>0</v>
          </cell>
          <cell r="KF42">
            <v>40.482126699999995</v>
          </cell>
          <cell r="KG42">
            <v>0</v>
          </cell>
          <cell r="KH42">
            <v>0</v>
          </cell>
          <cell r="KI42">
            <v>0</v>
          </cell>
          <cell r="KJ42">
            <v>0</v>
          </cell>
          <cell r="KK42">
            <v>0</v>
          </cell>
          <cell r="KL42">
            <v>1.9899099999999998</v>
          </cell>
          <cell r="KM42">
            <v>67.600000000000009</v>
          </cell>
          <cell r="KN42">
            <v>20</v>
          </cell>
          <cell r="KO42">
            <v>1.3</v>
          </cell>
          <cell r="KP42">
            <v>5.2</v>
          </cell>
          <cell r="KQ42">
            <v>5.8999999999999995</v>
          </cell>
          <cell r="KR42">
            <v>0</v>
          </cell>
          <cell r="KS42">
            <v>67.100000000000009</v>
          </cell>
          <cell r="KT42">
            <v>20.100000000000001</v>
          </cell>
          <cell r="KU42">
            <v>1.3</v>
          </cell>
          <cell r="KV42">
            <v>5.3</v>
          </cell>
          <cell r="KW42">
            <v>6.2</v>
          </cell>
          <cell r="KX42">
            <v>0</v>
          </cell>
          <cell r="KY42"/>
          <cell r="KZ42"/>
          <cell r="LA42"/>
          <cell r="LB42"/>
          <cell r="LC42"/>
          <cell r="LD42"/>
          <cell r="LE42"/>
          <cell r="LF42"/>
          <cell r="LG42"/>
          <cell r="LH42"/>
          <cell r="LI42"/>
          <cell r="LJ42"/>
          <cell r="LK42"/>
          <cell r="LL42"/>
          <cell r="LM42"/>
          <cell r="LN42"/>
          <cell r="LO42"/>
        </row>
        <row r="43">
          <cell r="A43" t="str">
            <v>1DE</v>
          </cell>
          <cell r="B43" t="str">
            <v>43</v>
          </cell>
          <cell r="C43" t="str">
            <v>NAF 17</v>
          </cell>
          <cell r="D43" t="str">
            <v>DE</v>
          </cell>
          <cell r="E43" t="str">
            <v>1</v>
          </cell>
          <cell r="F43" t="str">
            <v>nd</v>
          </cell>
          <cell r="G43">
            <v>13.3</v>
          </cell>
          <cell r="H43">
            <v>24.9</v>
          </cell>
          <cell r="I43">
            <v>50.8</v>
          </cell>
          <cell r="J43">
            <v>7.6</v>
          </cell>
          <cell r="K43">
            <v>70.099999999999994</v>
          </cell>
          <cell r="L43" t="str">
            <v>nd</v>
          </cell>
          <cell r="M43">
            <v>21.9</v>
          </cell>
          <cell r="N43">
            <v>0</v>
          </cell>
          <cell r="O43">
            <v>30.8</v>
          </cell>
          <cell r="P43">
            <v>28.299999999999997</v>
          </cell>
          <cell r="Q43">
            <v>20</v>
          </cell>
          <cell r="R43">
            <v>6.1</v>
          </cell>
          <cell r="S43" t="str">
            <v>nd</v>
          </cell>
          <cell r="T43">
            <v>54.500000000000007</v>
          </cell>
          <cell r="U43">
            <v>7.6</v>
          </cell>
          <cell r="V43">
            <v>9.1999999999999993</v>
          </cell>
          <cell r="W43">
            <v>9.1999999999999993</v>
          </cell>
          <cell r="X43">
            <v>90.8</v>
          </cell>
          <cell r="Y43">
            <v>0</v>
          </cell>
          <cell r="Z43">
            <v>0</v>
          </cell>
          <cell r="AA43" t="str">
            <v>nd</v>
          </cell>
          <cell r="AB43">
            <v>0</v>
          </cell>
          <cell r="AC43" t="str">
            <v>nd</v>
          </cell>
          <cell r="AD43">
            <v>0</v>
          </cell>
          <cell r="AE43">
            <v>23.5</v>
          </cell>
          <cell r="AF43">
            <v>76.5</v>
          </cell>
          <cell r="AG43" t="str">
            <v>nd</v>
          </cell>
          <cell r="AH43">
            <v>84.7</v>
          </cell>
          <cell r="AI43">
            <v>74.5</v>
          </cell>
          <cell r="AJ43">
            <v>0</v>
          </cell>
          <cell r="AK43">
            <v>0</v>
          </cell>
          <cell r="AL43" t="str">
            <v>nd</v>
          </cell>
          <cell r="AM43" t="str">
            <v>nd</v>
          </cell>
          <cell r="AN43">
            <v>0</v>
          </cell>
          <cell r="AO43" t="str">
            <v>nd</v>
          </cell>
          <cell r="AP43">
            <v>0</v>
          </cell>
          <cell r="AQ43">
            <v>86</v>
          </cell>
          <cell r="AR43">
            <v>0</v>
          </cell>
          <cell r="AS43">
            <v>85.8</v>
          </cell>
          <cell r="AT43" t="str">
            <v>nd</v>
          </cell>
          <cell r="AU43">
            <v>0</v>
          </cell>
          <cell r="AV43" t="str">
            <v>nd</v>
          </cell>
          <cell r="AW43">
            <v>0</v>
          </cell>
          <cell r="AX43" t="str">
            <v>nd</v>
          </cell>
          <cell r="AY43">
            <v>0</v>
          </cell>
          <cell r="AZ43">
            <v>0</v>
          </cell>
          <cell r="BA43">
            <v>0</v>
          </cell>
          <cell r="BB43">
            <v>0</v>
          </cell>
          <cell r="BC43">
            <v>11.3</v>
          </cell>
          <cell r="BD43">
            <v>88.7</v>
          </cell>
          <cell r="BE43">
            <v>0</v>
          </cell>
          <cell r="BF43">
            <v>0</v>
          </cell>
          <cell r="BG43">
            <v>0</v>
          </cell>
          <cell r="BH43">
            <v>0</v>
          </cell>
          <cell r="BI43">
            <v>12.8</v>
          </cell>
          <cell r="BJ43">
            <v>87.2</v>
          </cell>
          <cell r="BK43">
            <v>0</v>
          </cell>
          <cell r="BL43">
            <v>0</v>
          </cell>
          <cell r="BM43">
            <v>0</v>
          </cell>
          <cell r="BN43">
            <v>0</v>
          </cell>
          <cell r="BO43">
            <v>33.300000000000004</v>
          </cell>
          <cell r="BP43">
            <v>66.7</v>
          </cell>
          <cell r="BQ43" t="str">
            <v>nd</v>
          </cell>
          <cell r="BR43">
            <v>0</v>
          </cell>
          <cell r="BS43">
            <v>0</v>
          </cell>
          <cell r="BT43">
            <v>0</v>
          </cell>
          <cell r="BU43">
            <v>45</v>
          </cell>
          <cell r="BV43">
            <v>50.9</v>
          </cell>
          <cell r="BW43">
            <v>0</v>
          </cell>
          <cell r="BX43">
            <v>0</v>
          </cell>
          <cell r="BY43">
            <v>0</v>
          </cell>
          <cell r="BZ43">
            <v>0</v>
          </cell>
          <cell r="CA43">
            <v>0</v>
          </cell>
          <cell r="CB43">
            <v>100</v>
          </cell>
          <cell r="CC43">
            <v>17.2</v>
          </cell>
          <cell r="CD43" t="str">
            <v>nd</v>
          </cell>
          <cell r="CE43">
            <v>0</v>
          </cell>
          <cell r="CF43" t="str">
            <v>nd</v>
          </cell>
          <cell r="CG43">
            <v>0</v>
          </cell>
          <cell r="CH43">
            <v>16.7</v>
          </cell>
          <cell r="CI43" t="str">
            <v>nd</v>
          </cell>
          <cell r="CJ43">
            <v>63.5</v>
          </cell>
          <cell r="CK43">
            <v>38.299999999999997</v>
          </cell>
          <cell r="CL43">
            <v>0</v>
          </cell>
          <cell r="CM43">
            <v>0</v>
          </cell>
          <cell r="CN43">
            <v>0</v>
          </cell>
          <cell r="CO43">
            <v>61.7</v>
          </cell>
          <cell r="CP43">
            <v>13.600000000000001</v>
          </cell>
          <cell r="CQ43">
            <v>53.5</v>
          </cell>
          <cell r="CR43">
            <v>7.1</v>
          </cell>
          <cell r="CS43">
            <v>25.8</v>
          </cell>
          <cell r="CT43">
            <v>11.600000000000001</v>
          </cell>
          <cell r="CU43">
            <v>88.4</v>
          </cell>
          <cell r="CV43" t="str">
            <v>nd</v>
          </cell>
          <cell r="CW43">
            <v>93.5</v>
          </cell>
          <cell r="CX43">
            <v>8.5</v>
          </cell>
          <cell r="CY43">
            <v>45.300000000000004</v>
          </cell>
          <cell r="CZ43">
            <v>46.2</v>
          </cell>
          <cell r="DA43">
            <v>43.9</v>
          </cell>
          <cell r="DB43">
            <v>0</v>
          </cell>
          <cell r="DC43">
            <v>0</v>
          </cell>
          <cell r="DD43" t="str">
            <v>nd</v>
          </cell>
          <cell r="DE43" t="str">
            <v>nd</v>
          </cell>
          <cell r="DF43" t="str">
            <v>nd</v>
          </cell>
          <cell r="DG43">
            <v>25.7</v>
          </cell>
          <cell r="DH43">
            <v>17.7</v>
          </cell>
          <cell r="DI43">
            <v>25.7</v>
          </cell>
          <cell r="DJ43" t="str">
            <v>nd</v>
          </cell>
          <cell r="DK43">
            <v>24.2</v>
          </cell>
          <cell r="DL43" t="str">
            <v>nd</v>
          </cell>
          <cell r="DM43">
            <v>59.9</v>
          </cell>
          <cell r="DN43" t="str">
            <v>nd</v>
          </cell>
          <cell r="DO43">
            <v>17.299999999999997</v>
          </cell>
          <cell r="DP43" t="str">
            <v>nd</v>
          </cell>
          <cell r="DQ43">
            <v>0</v>
          </cell>
          <cell r="DR43">
            <v>18.8</v>
          </cell>
          <cell r="DS43" t="str">
            <v>nd</v>
          </cell>
          <cell r="DT43">
            <v>27.6</v>
          </cell>
          <cell r="DU43" t="str">
            <v>nd</v>
          </cell>
          <cell r="DV43">
            <v>0</v>
          </cell>
          <cell r="DW43">
            <v>0</v>
          </cell>
          <cell r="DX43">
            <v>0</v>
          </cell>
          <cell r="DY43">
            <v>0</v>
          </cell>
          <cell r="DZ43">
            <v>13.970604400000001</v>
          </cell>
          <cell r="EA43">
            <v>0</v>
          </cell>
          <cell r="EB43">
            <v>0</v>
          </cell>
          <cell r="EC43">
            <v>0</v>
          </cell>
          <cell r="ED43">
            <v>0</v>
          </cell>
          <cell r="EE43">
            <v>0</v>
          </cell>
          <cell r="EF43">
            <v>21.450856400000003</v>
          </cell>
          <cell r="EG43">
            <v>0</v>
          </cell>
          <cell r="EH43">
            <v>0</v>
          </cell>
          <cell r="EI43" t="str">
            <v>nd</v>
          </cell>
          <cell r="EJ43">
            <v>0</v>
          </cell>
          <cell r="EK43">
            <v>0</v>
          </cell>
          <cell r="EL43">
            <v>42.027216899999999</v>
          </cell>
          <cell r="EM43" t="str">
            <v>nd</v>
          </cell>
          <cell r="EN43">
            <v>0</v>
          </cell>
          <cell r="EO43">
            <v>0</v>
          </cell>
          <cell r="EP43">
            <v>0</v>
          </cell>
          <cell r="EQ43" t="str">
            <v>nd</v>
          </cell>
          <cell r="ER43" t="str">
            <v>nd</v>
          </cell>
          <cell r="ES43">
            <v>0</v>
          </cell>
          <cell r="ET43">
            <v>0</v>
          </cell>
          <cell r="EU43">
            <v>0</v>
          </cell>
          <cell r="EV43">
            <v>0</v>
          </cell>
          <cell r="EW43">
            <v>0</v>
          </cell>
          <cell r="EX43">
            <v>0</v>
          </cell>
          <cell r="EY43" t="str">
            <v>nd</v>
          </cell>
          <cell r="EZ43">
            <v>0</v>
          </cell>
          <cell r="FA43">
            <v>0</v>
          </cell>
          <cell r="FB43">
            <v>0</v>
          </cell>
          <cell r="FC43">
            <v>0</v>
          </cell>
          <cell r="FD43">
            <v>0</v>
          </cell>
          <cell r="FE43">
            <v>0</v>
          </cell>
          <cell r="FF43">
            <v>0</v>
          </cell>
          <cell r="FG43" t="str">
            <v>nd</v>
          </cell>
          <cell r="FH43">
            <v>11.8652566</v>
          </cell>
          <cell r="FI43">
            <v>0</v>
          </cell>
          <cell r="FJ43">
            <v>0</v>
          </cell>
          <cell r="FK43">
            <v>0</v>
          </cell>
          <cell r="FL43">
            <v>0</v>
          </cell>
          <cell r="FM43" t="str">
            <v>nd</v>
          </cell>
          <cell r="FN43">
            <v>22.010607700000001</v>
          </cell>
          <cell r="FO43">
            <v>0</v>
          </cell>
          <cell r="FP43">
            <v>0</v>
          </cell>
          <cell r="FQ43">
            <v>0</v>
          </cell>
          <cell r="FR43">
            <v>0</v>
          </cell>
          <cell r="FS43">
            <v>0</v>
          </cell>
          <cell r="FT43">
            <v>52.809914999999997</v>
          </cell>
          <cell r="FU43">
            <v>0</v>
          </cell>
          <cell r="FV43">
            <v>0</v>
          </cell>
          <cell r="FW43">
            <v>0</v>
          </cell>
          <cell r="FX43">
            <v>0</v>
          </cell>
          <cell r="FY43">
            <v>0</v>
          </cell>
          <cell r="FZ43" t="str">
            <v>nd</v>
          </cell>
          <cell r="GA43">
            <v>0</v>
          </cell>
          <cell r="GB43">
            <v>0</v>
          </cell>
          <cell r="GC43">
            <v>0</v>
          </cell>
          <cell r="GD43">
            <v>0</v>
          </cell>
          <cell r="GE43" t="str">
            <v>nd</v>
          </cell>
          <cell r="GF43">
            <v>0</v>
          </cell>
          <cell r="GG43">
            <v>0</v>
          </cell>
          <cell r="GH43">
            <v>0</v>
          </cell>
          <cell r="GI43">
            <v>0</v>
          </cell>
          <cell r="GJ43">
            <v>10.4016207</v>
          </cell>
          <cell r="GK43" t="str">
            <v>nd</v>
          </cell>
          <cell r="GL43">
            <v>0</v>
          </cell>
          <cell r="GM43">
            <v>0</v>
          </cell>
          <cell r="GN43">
            <v>0</v>
          </cell>
          <cell r="GO43">
            <v>0</v>
          </cell>
          <cell r="GP43" t="str">
            <v>nd</v>
          </cell>
          <cell r="GQ43">
            <v>24.2372464</v>
          </cell>
          <cell r="GR43">
            <v>0</v>
          </cell>
          <cell r="GS43">
            <v>0</v>
          </cell>
          <cell r="GT43">
            <v>0</v>
          </cell>
          <cell r="GU43">
            <v>0</v>
          </cell>
          <cell r="GV43">
            <v>0</v>
          </cell>
          <cell r="GW43">
            <v>52.809914999999997</v>
          </cell>
          <cell r="GX43">
            <v>0</v>
          </cell>
          <cell r="GY43">
            <v>0</v>
          </cell>
          <cell r="GZ43">
            <v>0</v>
          </cell>
          <cell r="HA43">
            <v>0</v>
          </cell>
          <cell r="HB43">
            <v>0</v>
          </cell>
          <cell r="HC43" t="str">
            <v>nd</v>
          </cell>
          <cell r="HD43">
            <v>0</v>
          </cell>
          <cell r="HE43" t="str">
            <v>nd</v>
          </cell>
          <cell r="HF43">
            <v>0</v>
          </cell>
          <cell r="HG43">
            <v>0</v>
          </cell>
          <cell r="HH43">
            <v>0</v>
          </cell>
          <cell r="HI43">
            <v>0</v>
          </cell>
          <cell r="HJ43">
            <v>0</v>
          </cell>
          <cell r="HK43">
            <v>0</v>
          </cell>
          <cell r="HL43">
            <v>0</v>
          </cell>
          <cell r="HM43" t="str">
            <v>nd</v>
          </cell>
          <cell r="HN43">
            <v>10.5294355</v>
          </cell>
          <cell r="HO43">
            <v>0</v>
          </cell>
          <cell r="HP43">
            <v>0</v>
          </cell>
          <cell r="HQ43">
            <v>0</v>
          </cell>
          <cell r="HR43">
            <v>0</v>
          </cell>
          <cell r="HS43" t="str">
            <v>nd</v>
          </cell>
          <cell r="HT43">
            <v>18.399514100000001</v>
          </cell>
          <cell r="HU43">
            <v>0</v>
          </cell>
          <cell r="HV43">
            <v>0</v>
          </cell>
          <cell r="HW43">
            <v>0</v>
          </cell>
          <cell r="HX43">
            <v>0</v>
          </cell>
          <cell r="HY43">
            <v>16.0515358</v>
          </cell>
          <cell r="HZ43">
            <v>35.756707599999999</v>
          </cell>
          <cell r="IA43">
            <v>0</v>
          </cell>
          <cell r="IB43">
            <v>0</v>
          </cell>
          <cell r="IC43">
            <v>0</v>
          </cell>
          <cell r="ID43">
            <v>0</v>
          </cell>
          <cell r="IE43" t="str">
            <v>nd</v>
          </cell>
          <cell r="IF43" t="str">
            <v>nd</v>
          </cell>
          <cell r="IG43">
            <v>0</v>
          </cell>
          <cell r="IH43" t="str">
            <v>nd</v>
          </cell>
          <cell r="II43">
            <v>0</v>
          </cell>
          <cell r="IJ43">
            <v>0</v>
          </cell>
          <cell r="IK43">
            <v>0</v>
          </cell>
          <cell r="IL43">
            <v>0</v>
          </cell>
          <cell r="IM43">
            <v>0</v>
          </cell>
          <cell r="IN43">
            <v>0</v>
          </cell>
          <cell r="IO43">
            <v>0</v>
          </cell>
          <cell r="IP43" t="str">
            <v>nd</v>
          </cell>
          <cell r="IQ43" t="str">
            <v>nd</v>
          </cell>
          <cell r="IR43">
            <v>0</v>
          </cell>
          <cell r="IS43">
            <v>0</v>
          </cell>
          <cell r="IT43">
            <v>0</v>
          </cell>
          <cell r="IU43">
            <v>0</v>
          </cell>
          <cell r="IV43">
            <v>13.5263218</v>
          </cell>
          <cell r="IW43">
            <v>13.168068799999999</v>
          </cell>
          <cell r="IX43" t="str">
            <v>nd</v>
          </cell>
          <cell r="IY43">
            <v>0</v>
          </cell>
          <cell r="IZ43">
            <v>0</v>
          </cell>
          <cell r="JA43">
            <v>0</v>
          </cell>
          <cell r="JB43">
            <v>19.899214600000001</v>
          </cell>
          <cell r="JC43">
            <v>28.815898699999998</v>
          </cell>
          <cell r="JD43">
            <v>0</v>
          </cell>
          <cell r="JE43">
            <v>0</v>
          </cell>
          <cell r="JF43">
            <v>0</v>
          </cell>
          <cell r="JG43">
            <v>0</v>
          </cell>
          <cell r="JH43">
            <v>0</v>
          </cell>
          <cell r="JI43" t="str">
            <v>nd</v>
          </cell>
          <cell r="JJ43">
            <v>0</v>
          </cell>
          <cell r="JK43">
            <v>0</v>
          </cell>
          <cell r="JL43">
            <v>0</v>
          </cell>
          <cell r="JM43">
            <v>0</v>
          </cell>
          <cell r="JN43" t="str">
            <v>nd</v>
          </cell>
          <cell r="JO43">
            <v>0</v>
          </cell>
          <cell r="JP43">
            <v>0</v>
          </cell>
          <cell r="JQ43">
            <v>0</v>
          </cell>
          <cell r="JR43">
            <v>0</v>
          </cell>
          <cell r="JS43">
            <v>0</v>
          </cell>
          <cell r="JT43">
            <v>14.613664500000001</v>
          </cell>
          <cell r="JU43">
            <v>0</v>
          </cell>
          <cell r="JV43">
            <v>0</v>
          </cell>
          <cell r="JW43">
            <v>0</v>
          </cell>
          <cell r="JX43">
            <v>0</v>
          </cell>
          <cell r="JY43">
            <v>0</v>
          </cell>
          <cell r="JZ43">
            <v>26.680275599999998</v>
          </cell>
          <cell r="KA43">
            <v>0</v>
          </cell>
          <cell r="KB43">
            <v>0</v>
          </cell>
          <cell r="KC43">
            <v>0</v>
          </cell>
          <cell r="KD43">
            <v>0</v>
          </cell>
          <cell r="KE43">
            <v>0</v>
          </cell>
          <cell r="KF43">
            <v>52.809914999999997</v>
          </cell>
          <cell r="KG43">
            <v>0</v>
          </cell>
          <cell r="KH43">
            <v>0</v>
          </cell>
          <cell r="KI43">
            <v>0</v>
          </cell>
          <cell r="KJ43">
            <v>0</v>
          </cell>
          <cell r="KK43">
            <v>0</v>
          </cell>
          <cell r="KL43" t="str">
            <v>nd</v>
          </cell>
          <cell r="KM43">
            <v>89.8</v>
          </cell>
          <cell r="KN43">
            <v>0.5</v>
          </cell>
          <cell r="KO43">
            <v>0.6</v>
          </cell>
          <cell r="KP43">
            <v>1.7000000000000002</v>
          </cell>
          <cell r="KQ43">
            <v>7.3</v>
          </cell>
          <cell r="KR43">
            <v>0</v>
          </cell>
          <cell r="KS43">
            <v>89.8</v>
          </cell>
          <cell r="KT43">
            <v>0.5</v>
          </cell>
          <cell r="KU43">
            <v>0.6</v>
          </cell>
          <cell r="KV43">
            <v>1.7000000000000002</v>
          </cell>
          <cell r="KW43">
            <v>7.3</v>
          </cell>
          <cell r="KX43">
            <v>0</v>
          </cell>
          <cell r="KY43"/>
          <cell r="KZ43"/>
          <cell r="LA43"/>
          <cell r="LB43"/>
          <cell r="LC43"/>
          <cell r="LD43"/>
          <cell r="LE43"/>
          <cell r="LF43"/>
          <cell r="LG43"/>
          <cell r="LH43"/>
          <cell r="LI43"/>
          <cell r="LJ43"/>
          <cell r="LK43"/>
          <cell r="LL43"/>
          <cell r="LM43"/>
          <cell r="LN43"/>
          <cell r="LO43"/>
        </row>
        <row r="44">
          <cell r="A44" t="str">
            <v>2DE</v>
          </cell>
          <cell r="B44" t="str">
            <v>44</v>
          </cell>
          <cell r="C44" t="str">
            <v>NAF 17</v>
          </cell>
          <cell r="D44" t="str">
            <v>DE</v>
          </cell>
          <cell r="E44" t="str">
            <v>2</v>
          </cell>
          <cell r="F44">
            <v>0</v>
          </cell>
          <cell r="G44" t="str">
            <v>nd</v>
          </cell>
          <cell r="H44">
            <v>18.5</v>
          </cell>
          <cell r="I44">
            <v>65</v>
          </cell>
          <cell r="J44">
            <v>13.3</v>
          </cell>
          <cell r="K44" t="str">
            <v>nd</v>
          </cell>
          <cell r="L44" t="str">
            <v>nd</v>
          </cell>
          <cell r="M44" t="str">
            <v>nd</v>
          </cell>
          <cell r="N44" t="str">
            <v>nd</v>
          </cell>
          <cell r="O44">
            <v>12.8</v>
          </cell>
          <cell r="P44">
            <v>29.599999999999998</v>
          </cell>
          <cell r="Q44">
            <v>26.900000000000002</v>
          </cell>
          <cell r="R44">
            <v>29.4</v>
          </cell>
          <cell r="S44">
            <v>27.500000000000004</v>
          </cell>
          <cell r="T44">
            <v>4.1000000000000005</v>
          </cell>
          <cell r="U44" t="str">
            <v>nd</v>
          </cell>
          <cell r="V44">
            <v>19.3</v>
          </cell>
          <cell r="W44" t="str">
            <v>nd</v>
          </cell>
          <cell r="X44">
            <v>98.4</v>
          </cell>
          <cell r="Y44">
            <v>1.4000000000000001</v>
          </cell>
          <cell r="Z44" t="str">
            <v>nd</v>
          </cell>
          <cell r="AA44">
            <v>0</v>
          </cell>
          <cell r="AB44">
            <v>0</v>
          </cell>
          <cell r="AC44">
            <v>0</v>
          </cell>
          <cell r="AD44">
            <v>0</v>
          </cell>
          <cell r="AE44">
            <v>44.4</v>
          </cell>
          <cell r="AF44">
            <v>55.600000000000009</v>
          </cell>
          <cell r="AG44">
            <v>98.2</v>
          </cell>
          <cell r="AH44" t="str">
            <v>nd</v>
          </cell>
          <cell r="AI44" t="str">
            <v>nd</v>
          </cell>
          <cell r="AJ44">
            <v>0</v>
          </cell>
          <cell r="AK44">
            <v>0</v>
          </cell>
          <cell r="AL44">
            <v>68.5</v>
          </cell>
          <cell r="AM44">
            <v>5</v>
          </cell>
          <cell r="AN44">
            <v>0</v>
          </cell>
          <cell r="AO44" t="str">
            <v>nd</v>
          </cell>
          <cell r="AP44" t="str">
            <v>nd</v>
          </cell>
          <cell r="AQ44">
            <v>82.199999999999989</v>
          </cell>
          <cell r="AR44">
            <v>0</v>
          </cell>
          <cell r="AS44">
            <v>67</v>
          </cell>
          <cell r="AT44" t="str">
            <v>nd</v>
          </cell>
          <cell r="AU44">
            <v>0</v>
          </cell>
          <cell r="AV44" t="str">
            <v>nd</v>
          </cell>
          <cell r="AW44" t="str">
            <v>nd</v>
          </cell>
          <cell r="AX44">
            <v>12.3</v>
          </cell>
          <cell r="AY44" t="str">
            <v>nd</v>
          </cell>
          <cell r="AZ44" t="str">
            <v>nd</v>
          </cell>
          <cell r="BA44" t="str">
            <v>nd</v>
          </cell>
          <cell r="BB44">
            <v>12.2</v>
          </cell>
          <cell r="BC44">
            <v>27.800000000000004</v>
          </cell>
          <cell r="BD44">
            <v>57.599999999999994</v>
          </cell>
          <cell r="BE44">
            <v>0</v>
          </cell>
          <cell r="BF44">
            <v>0</v>
          </cell>
          <cell r="BG44">
            <v>0</v>
          </cell>
          <cell r="BH44">
            <v>0</v>
          </cell>
          <cell r="BI44">
            <v>34</v>
          </cell>
          <cell r="BJ44">
            <v>66</v>
          </cell>
          <cell r="BK44">
            <v>0</v>
          </cell>
          <cell r="BL44">
            <v>0</v>
          </cell>
          <cell r="BM44">
            <v>0</v>
          </cell>
          <cell r="BN44" t="str">
            <v>nd</v>
          </cell>
          <cell r="BO44">
            <v>67.5</v>
          </cell>
          <cell r="BP44">
            <v>29.7</v>
          </cell>
          <cell r="BQ44">
            <v>0</v>
          </cell>
          <cell r="BR44" t="str">
            <v>nd</v>
          </cell>
          <cell r="BS44" t="str">
            <v>nd</v>
          </cell>
          <cell r="BT44" t="str">
            <v>nd</v>
          </cell>
          <cell r="BU44">
            <v>56.399999999999991</v>
          </cell>
          <cell r="BV44">
            <v>38.299999999999997</v>
          </cell>
          <cell r="BW44">
            <v>0</v>
          </cell>
          <cell r="BX44">
            <v>0</v>
          </cell>
          <cell r="BY44">
            <v>0</v>
          </cell>
          <cell r="BZ44">
            <v>0</v>
          </cell>
          <cell r="CA44">
            <v>0</v>
          </cell>
          <cell r="CB44">
            <v>100</v>
          </cell>
          <cell r="CC44">
            <v>13.5</v>
          </cell>
          <cell r="CD44">
            <v>21.3</v>
          </cell>
          <cell r="CE44">
            <v>0</v>
          </cell>
          <cell r="CF44">
            <v>0</v>
          </cell>
          <cell r="CG44">
            <v>0</v>
          </cell>
          <cell r="CH44">
            <v>11.200000000000001</v>
          </cell>
          <cell r="CI44" t="str">
            <v>nd</v>
          </cell>
          <cell r="CJ44">
            <v>55.800000000000004</v>
          </cell>
          <cell r="CK44">
            <v>24.2</v>
          </cell>
          <cell r="CL44" t="str">
            <v>nd</v>
          </cell>
          <cell r="CM44" t="str">
            <v>nd</v>
          </cell>
          <cell r="CN44">
            <v>0</v>
          </cell>
          <cell r="CO44">
            <v>66.2</v>
          </cell>
          <cell r="CP44">
            <v>32.5</v>
          </cell>
          <cell r="CQ44">
            <v>30.5</v>
          </cell>
          <cell r="CR44" t="str">
            <v>nd</v>
          </cell>
          <cell r="CS44">
            <v>36.700000000000003</v>
          </cell>
          <cell r="CT44">
            <v>5.7</v>
          </cell>
          <cell r="CU44">
            <v>94.3</v>
          </cell>
          <cell r="CV44">
            <v>9.5</v>
          </cell>
          <cell r="CW44">
            <v>90.5</v>
          </cell>
          <cell r="CX44" t="str">
            <v>nd</v>
          </cell>
          <cell r="CY44">
            <v>37.4</v>
          </cell>
          <cell r="CZ44">
            <v>56.2</v>
          </cell>
          <cell r="DA44">
            <v>0</v>
          </cell>
          <cell r="DB44">
            <v>0</v>
          </cell>
          <cell r="DC44">
            <v>0</v>
          </cell>
          <cell r="DD44">
            <v>0</v>
          </cell>
          <cell r="DE44" t="str">
            <v>nd</v>
          </cell>
          <cell r="DF44">
            <v>35.9</v>
          </cell>
          <cell r="DG44">
            <v>13.900000000000002</v>
          </cell>
          <cell r="DH44">
            <v>12.3</v>
          </cell>
          <cell r="DI44">
            <v>9.6</v>
          </cell>
          <cell r="DJ44">
            <v>2.1</v>
          </cell>
          <cell r="DK44">
            <v>26.3</v>
          </cell>
          <cell r="DL44">
            <v>33.300000000000004</v>
          </cell>
          <cell r="DM44">
            <v>14.2</v>
          </cell>
          <cell r="DN44" t="str">
            <v>nd</v>
          </cell>
          <cell r="DO44">
            <v>16.600000000000001</v>
          </cell>
          <cell r="DP44" t="str">
            <v>nd</v>
          </cell>
          <cell r="DQ44">
            <v>0</v>
          </cell>
          <cell r="DR44">
            <v>12.5</v>
          </cell>
          <cell r="DS44">
            <v>3.6999999999999997</v>
          </cell>
          <cell r="DT44">
            <v>21.8</v>
          </cell>
          <cell r="DU44">
            <v>0</v>
          </cell>
          <cell r="DV44">
            <v>0</v>
          </cell>
          <cell r="DW44">
            <v>0</v>
          </cell>
          <cell r="DX44">
            <v>0</v>
          </cell>
          <cell r="DY44">
            <v>0</v>
          </cell>
          <cell r="DZ44">
            <v>0</v>
          </cell>
          <cell r="EA44" t="str">
            <v>nd</v>
          </cell>
          <cell r="EB44">
            <v>0</v>
          </cell>
          <cell r="EC44">
            <v>0</v>
          </cell>
          <cell r="ED44">
            <v>0</v>
          </cell>
          <cell r="EE44">
            <v>0</v>
          </cell>
          <cell r="EF44">
            <v>11.2103141</v>
          </cell>
          <cell r="EG44">
            <v>0</v>
          </cell>
          <cell r="EH44">
            <v>0</v>
          </cell>
          <cell r="EI44" t="str">
            <v>nd</v>
          </cell>
          <cell r="EJ44">
            <v>0</v>
          </cell>
          <cell r="EK44" t="str">
            <v>nd</v>
          </cell>
          <cell r="EL44">
            <v>52.539766399999998</v>
          </cell>
          <cell r="EM44" t="str">
            <v>nd</v>
          </cell>
          <cell r="EN44">
            <v>0</v>
          </cell>
          <cell r="EO44" t="str">
            <v>nd</v>
          </cell>
          <cell r="EP44">
            <v>0</v>
          </cell>
          <cell r="EQ44" t="str">
            <v>nd</v>
          </cell>
          <cell r="ER44" t="str">
            <v>nd</v>
          </cell>
          <cell r="ES44">
            <v>0</v>
          </cell>
          <cell r="ET44">
            <v>0</v>
          </cell>
          <cell r="EU44">
            <v>0</v>
          </cell>
          <cell r="EV44" t="str">
            <v>nd</v>
          </cell>
          <cell r="EW44" t="str">
            <v>nd</v>
          </cell>
          <cell r="EX44">
            <v>0</v>
          </cell>
          <cell r="EY44">
            <v>0</v>
          </cell>
          <cell r="EZ44">
            <v>0</v>
          </cell>
          <cell r="FA44">
            <v>0</v>
          </cell>
          <cell r="FB44">
            <v>0</v>
          </cell>
          <cell r="FC44">
            <v>0</v>
          </cell>
          <cell r="FD44">
            <v>0</v>
          </cell>
          <cell r="FE44">
            <v>0</v>
          </cell>
          <cell r="FF44" t="str">
            <v>nd</v>
          </cell>
          <cell r="FG44">
            <v>0</v>
          </cell>
          <cell r="FH44">
            <v>0</v>
          </cell>
          <cell r="FI44">
            <v>0</v>
          </cell>
          <cell r="FJ44">
            <v>0</v>
          </cell>
          <cell r="FK44">
            <v>0</v>
          </cell>
          <cell r="FL44" t="str">
            <v>nd</v>
          </cell>
          <cell r="FM44" t="str">
            <v>nd</v>
          </cell>
          <cell r="FN44">
            <v>7.8575029000000001</v>
          </cell>
          <cell r="FO44">
            <v>0</v>
          </cell>
          <cell r="FP44" t="str">
            <v>nd</v>
          </cell>
          <cell r="FQ44" t="str">
            <v>nd</v>
          </cell>
          <cell r="FR44" t="str">
            <v>nd</v>
          </cell>
          <cell r="FS44">
            <v>11.226345499999999</v>
          </cell>
          <cell r="FT44">
            <v>46.1283575</v>
          </cell>
          <cell r="FU44" t="str">
            <v>nd</v>
          </cell>
          <cell r="FV44">
            <v>0</v>
          </cell>
          <cell r="FW44">
            <v>0</v>
          </cell>
          <cell r="FX44">
            <v>0</v>
          </cell>
          <cell r="FY44" t="str">
            <v>nd</v>
          </cell>
          <cell r="FZ44" t="str">
            <v>nd</v>
          </cell>
          <cell r="GA44">
            <v>0</v>
          </cell>
          <cell r="GB44">
            <v>0</v>
          </cell>
          <cell r="GC44">
            <v>0</v>
          </cell>
          <cell r="GD44">
            <v>0</v>
          </cell>
          <cell r="GE44">
            <v>0</v>
          </cell>
          <cell r="GF44">
            <v>0</v>
          </cell>
          <cell r="GG44">
            <v>0</v>
          </cell>
          <cell r="GH44">
            <v>0</v>
          </cell>
          <cell r="GI44">
            <v>0</v>
          </cell>
          <cell r="GJ44" t="str">
            <v>nd</v>
          </cell>
          <cell r="GK44">
            <v>0</v>
          </cell>
          <cell r="GL44">
            <v>0</v>
          </cell>
          <cell r="GM44">
            <v>0</v>
          </cell>
          <cell r="GN44">
            <v>0</v>
          </cell>
          <cell r="GO44">
            <v>0</v>
          </cell>
          <cell r="GP44">
            <v>13.190442099999999</v>
          </cell>
          <cell r="GQ44">
            <v>8.8718927999999995</v>
          </cell>
          <cell r="GR44">
            <v>0</v>
          </cell>
          <cell r="GS44">
            <v>0</v>
          </cell>
          <cell r="GT44">
            <v>0</v>
          </cell>
          <cell r="GU44">
            <v>0</v>
          </cell>
          <cell r="GV44">
            <v>17.374150999999998</v>
          </cell>
          <cell r="GW44">
            <v>42.984306199999999</v>
          </cell>
          <cell r="GX44">
            <v>0</v>
          </cell>
          <cell r="GY44">
            <v>0</v>
          </cell>
          <cell r="GZ44">
            <v>0</v>
          </cell>
          <cell r="HA44">
            <v>0</v>
          </cell>
          <cell r="HB44">
            <v>0</v>
          </cell>
          <cell r="HC44">
            <v>14.125227600000001</v>
          </cell>
          <cell r="HD44">
            <v>0</v>
          </cell>
          <cell r="HE44">
            <v>0</v>
          </cell>
          <cell r="HF44">
            <v>0</v>
          </cell>
          <cell r="HG44">
            <v>0</v>
          </cell>
          <cell r="HH44">
            <v>0</v>
          </cell>
          <cell r="HI44">
            <v>0</v>
          </cell>
          <cell r="HJ44">
            <v>0</v>
          </cell>
          <cell r="HK44">
            <v>0</v>
          </cell>
          <cell r="HL44">
            <v>0</v>
          </cell>
          <cell r="HM44">
            <v>0</v>
          </cell>
          <cell r="HN44" t="str">
            <v>nd</v>
          </cell>
          <cell r="HO44">
            <v>0</v>
          </cell>
          <cell r="HP44">
            <v>0</v>
          </cell>
          <cell r="HQ44">
            <v>0</v>
          </cell>
          <cell r="HR44" t="str">
            <v>nd</v>
          </cell>
          <cell r="HS44" t="str">
            <v>nd</v>
          </cell>
          <cell r="HT44" t="str">
            <v>nd</v>
          </cell>
          <cell r="HU44">
            <v>0</v>
          </cell>
          <cell r="HV44">
            <v>0</v>
          </cell>
          <cell r="HW44">
            <v>0</v>
          </cell>
          <cell r="HX44">
            <v>0</v>
          </cell>
          <cell r="HY44">
            <v>44.451730499999996</v>
          </cell>
          <cell r="HZ44">
            <v>20.1864402</v>
          </cell>
          <cell r="IA44">
            <v>0</v>
          </cell>
          <cell r="IB44">
            <v>0</v>
          </cell>
          <cell r="IC44">
            <v>0</v>
          </cell>
          <cell r="ID44">
            <v>0</v>
          </cell>
          <cell r="IE44">
            <v>17.8130162</v>
          </cell>
          <cell r="IF44" t="str">
            <v>nd</v>
          </cell>
          <cell r="IG44">
            <v>0</v>
          </cell>
          <cell r="IH44">
            <v>0</v>
          </cell>
          <cell r="II44">
            <v>0</v>
          </cell>
          <cell r="IJ44">
            <v>0</v>
          </cell>
          <cell r="IK44">
            <v>0</v>
          </cell>
          <cell r="IL44">
            <v>0</v>
          </cell>
          <cell r="IM44">
            <v>0</v>
          </cell>
          <cell r="IN44">
            <v>0</v>
          </cell>
          <cell r="IO44">
            <v>0</v>
          </cell>
          <cell r="IP44">
            <v>0</v>
          </cell>
          <cell r="IQ44" t="str">
            <v>nd</v>
          </cell>
          <cell r="IR44">
            <v>0</v>
          </cell>
          <cell r="IS44">
            <v>0</v>
          </cell>
          <cell r="IT44">
            <v>0</v>
          </cell>
          <cell r="IU44">
            <v>0</v>
          </cell>
          <cell r="IV44">
            <v>16.5387509</v>
          </cell>
          <cell r="IW44">
            <v>5.5271400000000002</v>
          </cell>
          <cell r="IX44">
            <v>0</v>
          </cell>
          <cell r="IY44" t="str">
            <v>nd</v>
          </cell>
          <cell r="IZ44" t="str">
            <v>nd</v>
          </cell>
          <cell r="JA44" t="str">
            <v>nd</v>
          </cell>
          <cell r="JB44">
            <v>26.301093399999999</v>
          </cell>
          <cell r="JC44">
            <v>28.801478100000001</v>
          </cell>
          <cell r="JD44">
            <v>0</v>
          </cell>
          <cell r="JE44">
            <v>0</v>
          </cell>
          <cell r="JF44">
            <v>0</v>
          </cell>
          <cell r="JG44">
            <v>0</v>
          </cell>
          <cell r="JH44">
            <v>13.564536199999999</v>
          </cell>
          <cell r="JI44" t="str">
            <v>nd</v>
          </cell>
          <cell r="JJ44">
            <v>0</v>
          </cell>
          <cell r="JK44">
            <v>0</v>
          </cell>
          <cell r="JL44">
            <v>0</v>
          </cell>
          <cell r="JM44">
            <v>0</v>
          </cell>
          <cell r="JN44">
            <v>0</v>
          </cell>
          <cell r="JO44">
            <v>0</v>
          </cell>
          <cell r="JP44">
            <v>0</v>
          </cell>
          <cell r="JQ44">
            <v>0</v>
          </cell>
          <cell r="JR44">
            <v>0</v>
          </cell>
          <cell r="JS44">
            <v>0</v>
          </cell>
          <cell r="JT44" t="str">
            <v>nd</v>
          </cell>
          <cell r="JU44">
            <v>0</v>
          </cell>
          <cell r="JV44">
            <v>0</v>
          </cell>
          <cell r="JW44">
            <v>0</v>
          </cell>
          <cell r="JX44">
            <v>0</v>
          </cell>
          <cell r="JY44">
            <v>0</v>
          </cell>
          <cell r="JZ44">
            <v>22.0623349</v>
          </cell>
          <cell r="KA44">
            <v>0</v>
          </cell>
          <cell r="KB44">
            <v>0</v>
          </cell>
          <cell r="KC44">
            <v>0</v>
          </cell>
          <cell r="KD44">
            <v>0</v>
          </cell>
          <cell r="KE44">
            <v>0</v>
          </cell>
          <cell r="KF44">
            <v>60.358457200000004</v>
          </cell>
          <cell r="KG44">
            <v>0</v>
          </cell>
          <cell r="KH44">
            <v>0</v>
          </cell>
          <cell r="KI44">
            <v>0</v>
          </cell>
          <cell r="KJ44">
            <v>0</v>
          </cell>
          <cell r="KK44">
            <v>0</v>
          </cell>
          <cell r="KL44">
            <v>14.125227600000001</v>
          </cell>
          <cell r="KM44">
            <v>66.3</v>
          </cell>
          <cell r="KN44">
            <v>8.1</v>
          </cell>
          <cell r="KO44">
            <v>1.7999999999999998</v>
          </cell>
          <cell r="KP44">
            <v>12.8</v>
          </cell>
          <cell r="KQ44">
            <v>11</v>
          </cell>
          <cell r="KR44">
            <v>0</v>
          </cell>
          <cell r="KS44">
            <v>66.2</v>
          </cell>
          <cell r="KT44">
            <v>8.6</v>
          </cell>
          <cell r="KU44">
            <v>1.6</v>
          </cell>
          <cell r="KV44">
            <v>12.8</v>
          </cell>
          <cell r="KW44">
            <v>10.8</v>
          </cell>
          <cell r="KX44">
            <v>0</v>
          </cell>
          <cell r="KY44"/>
          <cell r="KZ44"/>
          <cell r="LA44"/>
          <cell r="LB44"/>
          <cell r="LC44"/>
          <cell r="LD44"/>
          <cell r="LE44"/>
          <cell r="LF44"/>
          <cell r="LG44"/>
          <cell r="LH44"/>
          <cell r="LI44"/>
          <cell r="LJ44"/>
          <cell r="LK44"/>
          <cell r="LL44"/>
          <cell r="LM44"/>
          <cell r="LN44"/>
          <cell r="LO44"/>
        </row>
        <row r="45">
          <cell r="A45" t="str">
            <v>3DE</v>
          </cell>
          <cell r="B45" t="str">
            <v>45</v>
          </cell>
          <cell r="C45" t="str">
            <v>NAF 17</v>
          </cell>
          <cell r="D45" t="str">
            <v>DE</v>
          </cell>
          <cell r="E45" t="str">
            <v>3</v>
          </cell>
          <cell r="F45">
            <v>0</v>
          </cell>
          <cell r="G45" t="str">
            <v>nd</v>
          </cell>
          <cell r="H45" t="str">
            <v>nd</v>
          </cell>
          <cell r="I45">
            <v>69.399999999999991</v>
          </cell>
          <cell r="J45" t="str">
            <v>nd</v>
          </cell>
          <cell r="K45" t="str">
            <v>nd</v>
          </cell>
          <cell r="L45" t="str">
            <v>nd</v>
          </cell>
          <cell r="M45" t="str">
            <v>nd</v>
          </cell>
          <cell r="N45">
            <v>0</v>
          </cell>
          <cell r="O45">
            <v>20.599999999999998</v>
          </cell>
          <cell r="P45">
            <v>36.799999999999997</v>
          </cell>
          <cell r="Q45" t="str">
            <v>nd</v>
          </cell>
          <cell r="R45" t="str">
            <v>nd</v>
          </cell>
          <cell r="S45" t="str">
            <v>nd</v>
          </cell>
          <cell r="T45" t="str">
            <v>nd</v>
          </cell>
          <cell r="U45">
            <v>0</v>
          </cell>
          <cell r="V45">
            <v>39.700000000000003</v>
          </cell>
          <cell r="W45" t="str">
            <v>nd</v>
          </cell>
          <cell r="X45">
            <v>82.3</v>
          </cell>
          <cell r="Y45" t="str">
            <v>nd</v>
          </cell>
          <cell r="Z45">
            <v>0</v>
          </cell>
          <cell r="AA45">
            <v>0</v>
          </cell>
          <cell r="AB45">
            <v>0</v>
          </cell>
          <cell r="AC45">
            <v>0</v>
          </cell>
          <cell r="AD45">
            <v>0</v>
          </cell>
          <cell r="AE45">
            <v>49</v>
          </cell>
          <cell r="AF45">
            <v>51</v>
          </cell>
          <cell r="AG45">
            <v>80.2</v>
          </cell>
          <cell r="AH45">
            <v>19.8</v>
          </cell>
          <cell r="AI45" t="str">
            <v>nd</v>
          </cell>
          <cell r="AJ45">
            <v>0</v>
          </cell>
          <cell r="AK45">
            <v>0</v>
          </cell>
          <cell r="AL45">
            <v>64.400000000000006</v>
          </cell>
          <cell r="AM45" t="str">
            <v>nd</v>
          </cell>
          <cell r="AN45">
            <v>0</v>
          </cell>
          <cell r="AO45">
            <v>0</v>
          </cell>
          <cell r="AP45">
            <v>0</v>
          </cell>
          <cell r="AQ45">
            <v>89.8</v>
          </cell>
          <cell r="AR45" t="str">
            <v>nd</v>
          </cell>
          <cell r="AS45">
            <v>76.599999999999994</v>
          </cell>
          <cell r="AT45">
            <v>15.6</v>
          </cell>
          <cell r="AU45">
            <v>0</v>
          </cell>
          <cell r="AV45">
            <v>0</v>
          </cell>
          <cell r="AW45" t="str">
            <v>nd</v>
          </cell>
          <cell r="AX45">
            <v>0</v>
          </cell>
          <cell r="AY45">
            <v>0</v>
          </cell>
          <cell r="AZ45">
            <v>0</v>
          </cell>
          <cell r="BA45" t="str">
            <v>nd</v>
          </cell>
          <cell r="BB45">
            <v>17.100000000000001</v>
          </cell>
          <cell r="BC45">
            <v>32.5</v>
          </cell>
          <cell r="BD45">
            <v>46.400000000000006</v>
          </cell>
          <cell r="BE45">
            <v>0</v>
          </cell>
          <cell r="BF45">
            <v>0</v>
          </cell>
          <cell r="BG45" t="str">
            <v>nd</v>
          </cell>
          <cell r="BH45">
            <v>0</v>
          </cell>
          <cell r="BI45">
            <v>43</v>
          </cell>
          <cell r="BJ45">
            <v>53.5</v>
          </cell>
          <cell r="BK45">
            <v>0</v>
          </cell>
          <cell r="BL45">
            <v>0</v>
          </cell>
          <cell r="BM45">
            <v>0</v>
          </cell>
          <cell r="BN45" t="str">
            <v>nd</v>
          </cell>
          <cell r="BO45">
            <v>75.599999999999994</v>
          </cell>
          <cell r="BP45">
            <v>16.5</v>
          </cell>
          <cell r="BQ45">
            <v>0</v>
          </cell>
          <cell r="BR45">
            <v>0</v>
          </cell>
          <cell r="BS45">
            <v>0</v>
          </cell>
          <cell r="BT45" t="str">
            <v>nd</v>
          </cell>
          <cell r="BU45">
            <v>69</v>
          </cell>
          <cell r="BV45">
            <v>21.3</v>
          </cell>
          <cell r="BW45">
            <v>0</v>
          </cell>
          <cell r="BX45">
            <v>0</v>
          </cell>
          <cell r="BY45">
            <v>0</v>
          </cell>
          <cell r="BZ45">
            <v>0</v>
          </cell>
          <cell r="CA45">
            <v>0</v>
          </cell>
          <cell r="CB45">
            <v>100</v>
          </cell>
          <cell r="CC45">
            <v>40.200000000000003</v>
          </cell>
          <cell r="CD45">
            <v>0</v>
          </cell>
          <cell r="CE45">
            <v>0</v>
          </cell>
          <cell r="CF45">
            <v>0</v>
          </cell>
          <cell r="CG45">
            <v>0</v>
          </cell>
          <cell r="CH45">
            <v>18.7</v>
          </cell>
          <cell r="CI45" t="str">
            <v>nd</v>
          </cell>
          <cell r="CJ45">
            <v>50.9</v>
          </cell>
          <cell r="CK45">
            <v>37.200000000000003</v>
          </cell>
          <cell r="CL45" t="str">
            <v>nd</v>
          </cell>
          <cell r="CM45">
            <v>0</v>
          </cell>
          <cell r="CN45">
            <v>0</v>
          </cell>
          <cell r="CO45">
            <v>62.8</v>
          </cell>
          <cell r="CP45">
            <v>7.7</v>
          </cell>
          <cell r="CQ45">
            <v>42.3</v>
          </cell>
          <cell r="CR45">
            <v>0</v>
          </cell>
          <cell r="CS45">
            <v>50</v>
          </cell>
          <cell r="CT45" t="str">
            <v>nd</v>
          </cell>
          <cell r="CU45">
            <v>92.9</v>
          </cell>
          <cell r="CV45" t="str">
            <v>nd</v>
          </cell>
          <cell r="CW45">
            <v>92.2</v>
          </cell>
          <cell r="CX45" t="str">
            <v>nd</v>
          </cell>
          <cell r="CY45">
            <v>14.099999999999998</v>
          </cell>
          <cell r="CZ45">
            <v>79.7</v>
          </cell>
          <cell r="DA45">
            <v>0</v>
          </cell>
          <cell r="DB45" t="str">
            <v>nd</v>
          </cell>
          <cell r="DC45" t="str">
            <v>nd</v>
          </cell>
          <cell r="DD45">
            <v>0</v>
          </cell>
          <cell r="DE45">
            <v>0</v>
          </cell>
          <cell r="DF45">
            <v>52</v>
          </cell>
          <cell r="DG45">
            <v>3.8</v>
          </cell>
          <cell r="DH45" t="str">
            <v>nd</v>
          </cell>
          <cell r="DI45" t="str">
            <v>nd</v>
          </cell>
          <cell r="DJ45">
            <v>15.4</v>
          </cell>
          <cell r="DK45">
            <v>8.2000000000000011</v>
          </cell>
          <cell r="DL45">
            <v>51.6</v>
          </cell>
          <cell r="DM45">
            <v>42.8</v>
          </cell>
          <cell r="DN45">
            <v>16</v>
          </cell>
          <cell r="DO45" t="str">
            <v>nd</v>
          </cell>
          <cell r="DP45">
            <v>0</v>
          </cell>
          <cell r="DQ45">
            <v>0</v>
          </cell>
          <cell r="DR45">
            <v>0</v>
          </cell>
          <cell r="DS45" t="str">
            <v>nd</v>
          </cell>
          <cell r="DT45" t="str">
            <v>nd</v>
          </cell>
          <cell r="DU45">
            <v>0</v>
          </cell>
          <cell r="DV45">
            <v>0</v>
          </cell>
          <cell r="DW45">
            <v>0</v>
          </cell>
          <cell r="DX45">
            <v>0</v>
          </cell>
          <cell r="DY45">
            <v>0</v>
          </cell>
          <cell r="DZ45">
            <v>0</v>
          </cell>
          <cell r="EA45" t="str">
            <v>nd</v>
          </cell>
          <cell r="EB45">
            <v>0</v>
          </cell>
          <cell r="EC45">
            <v>0</v>
          </cell>
          <cell r="ED45">
            <v>0</v>
          </cell>
          <cell r="EE45">
            <v>0</v>
          </cell>
          <cell r="EF45">
            <v>0</v>
          </cell>
          <cell r="EG45" t="str">
            <v>nd</v>
          </cell>
          <cell r="EH45">
            <v>0</v>
          </cell>
          <cell r="EI45">
            <v>0</v>
          </cell>
          <cell r="EJ45" t="str">
            <v>nd</v>
          </cell>
          <cell r="EK45">
            <v>0</v>
          </cell>
          <cell r="EL45">
            <v>66.117296400000001</v>
          </cell>
          <cell r="EM45" t="str">
            <v>nd</v>
          </cell>
          <cell r="EN45">
            <v>0</v>
          </cell>
          <cell r="EO45">
            <v>0</v>
          </cell>
          <cell r="EP45">
            <v>0</v>
          </cell>
          <cell r="EQ45">
            <v>0</v>
          </cell>
          <cell r="ER45" t="str">
            <v>nd</v>
          </cell>
          <cell r="ES45">
            <v>0</v>
          </cell>
          <cell r="ET45">
            <v>0</v>
          </cell>
          <cell r="EU45">
            <v>0</v>
          </cell>
          <cell r="EV45">
            <v>0</v>
          </cell>
          <cell r="EW45">
            <v>0</v>
          </cell>
          <cell r="EX45">
            <v>0</v>
          </cell>
          <cell r="EY45">
            <v>0</v>
          </cell>
          <cell r="EZ45">
            <v>0</v>
          </cell>
          <cell r="FA45">
            <v>0</v>
          </cell>
          <cell r="FB45">
            <v>0</v>
          </cell>
          <cell r="FC45">
            <v>0</v>
          </cell>
          <cell r="FD45">
            <v>0</v>
          </cell>
          <cell r="FE45">
            <v>0</v>
          </cell>
          <cell r="FF45" t="str">
            <v>nd</v>
          </cell>
          <cell r="FG45">
            <v>0</v>
          </cell>
          <cell r="FH45" t="str">
            <v>nd</v>
          </cell>
          <cell r="FI45">
            <v>0</v>
          </cell>
          <cell r="FJ45">
            <v>0</v>
          </cell>
          <cell r="FK45">
            <v>0</v>
          </cell>
          <cell r="FL45" t="str">
            <v>nd</v>
          </cell>
          <cell r="FM45">
            <v>0</v>
          </cell>
          <cell r="FN45" t="str">
            <v>nd</v>
          </cell>
          <cell r="FO45">
            <v>0</v>
          </cell>
          <cell r="FP45">
            <v>0</v>
          </cell>
          <cell r="FQ45" t="str">
            <v>nd</v>
          </cell>
          <cell r="FR45" t="str">
            <v>nd</v>
          </cell>
          <cell r="FS45">
            <v>32.501564500000001</v>
          </cell>
          <cell r="FT45">
            <v>24.7320849</v>
          </cell>
          <cell r="FU45">
            <v>0</v>
          </cell>
          <cell r="FV45">
            <v>0</v>
          </cell>
          <cell r="FW45">
            <v>0</v>
          </cell>
          <cell r="FX45">
            <v>0</v>
          </cell>
          <cell r="FY45">
            <v>0</v>
          </cell>
          <cell r="FZ45" t="str">
            <v>nd</v>
          </cell>
          <cell r="GA45">
            <v>0</v>
          </cell>
          <cell r="GB45">
            <v>0</v>
          </cell>
          <cell r="GC45">
            <v>0</v>
          </cell>
          <cell r="GD45">
            <v>0</v>
          </cell>
          <cell r="GE45">
            <v>0</v>
          </cell>
          <cell r="GF45">
            <v>0</v>
          </cell>
          <cell r="GG45">
            <v>0</v>
          </cell>
          <cell r="GH45" t="str">
            <v>nd</v>
          </cell>
          <cell r="GI45">
            <v>0</v>
          </cell>
          <cell r="GJ45" t="str">
            <v>nd</v>
          </cell>
          <cell r="GK45">
            <v>0</v>
          </cell>
          <cell r="GL45">
            <v>0</v>
          </cell>
          <cell r="GM45">
            <v>0</v>
          </cell>
          <cell r="GN45">
            <v>0</v>
          </cell>
          <cell r="GO45">
            <v>0</v>
          </cell>
          <cell r="GP45">
            <v>0</v>
          </cell>
          <cell r="GQ45" t="str">
            <v>nd</v>
          </cell>
          <cell r="GR45">
            <v>0</v>
          </cell>
          <cell r="GS45">
            <v>0</v>
          </cell>
          <cell r="GT45">
            <v>0</v>
          </cell>
          <cell r="GU45">
            <v>0</v>
          </cell>
          <cell r="GV45">
            <v>28.300817900000002</v>
          </cell>
          <cell r="GW45">
            <v>43.931294300000005</v>
          </cell>
          <cell r="GX45">
            <v>0</v>
          </cell>
          <cell r="GY45">
            <v>0</v>
          </cell>
          <cell r="GZ45">
            <v>0</v>
          </cell>
          <cell r="HA45">
            <v>0</v>
          </cell>
          <cell r="HB45" t="str">
            <v>nd</v>
          </cell>
          <cell r="HC45">
            <v>0</v>
          </cell>
          <cell r="HD45">
            <v>0</v>
          </cell>
          <cell r="HE45">
            <v>0</v>
          </cell>
          <cell r="HF45">
            <v>0</v>
          </cell>
          <cell r="HG45">
            <v>0</v>
          </cell>
          <cell r="HH45">
            <v>0</v>
          </cell>
          <cell r="HI45">
            <v>0</v>
          </cell>
          <cell r="HJ45">
            <v>0</v>
          </cell>
          <cell r="HK45">
            <v>0</v>
          </cell>
          <cell r="HL45">
            <v>0</v>
          </cell>
          <cell r="HM45" t="str">
            <v>nd</v>
          </cell>
          <cell r="HN45" t="str">
            <v>nd</v>
          </cell>
          <cell r="HO45">
            <v>0</v>
          </cell>
          <cell r="HP45">
            <v>0</v>
          </cell>
          <cell r="HQ45">
            <v>0</v>
          </cell>
          <cell r="HR45">
            <v>0</v>
          </cell>
          <cell r="HS45" t="str">
            <v>nd</v>
          </cell>
          <cell r="HT45" t="str">
            <v>nd</v>
          </cell>
          <cell r="HU45">
            <v>0</v>
          </cell>
          <cell r="HV45">
            <v>0</v>
          </cell>
          <cell r="HW45">
            <v>0</v>
          </cell>
          <cell r="HX45" t="str">
            <v>nd</v>
          </cell>
          <cell r="HY45">
            <v>53.895219500000003</v>
          </cell>
          <cell r="HZ45">
            <v>7.6100314999999998</v>
          </cell>
          <cell r="IA45">
            <v>0</v>
          </cell>
          <cell r="IB45">
            <v>0</v>
          </cell>
          <cell r="IC45">
            <v>0</v>
          </cell>
          <cell r="ID45">
            <v>0</v>
          </cell>
          <cell r="IE45" t="str">
            <v>nd</v>
          </cell>
          <cell r="IF45">
            <v>0</v>
          </cell>
          <cell r="IG45">
            <v>0</v>
          </cell>
          <cell r="IH45">
            <v>0</v>
          </cell>
          <cell r="II45">
            <v>0</v>
          </cell>
          <cell r="IJ45">
            <v>0</v>
          </cell>
          <cell r="IK45">
            <v>0</v>
          </cell>
          <cell r="IL45">
            <v>0</v>
          </cell>
          <cell r="IM45">
            <v>0</v>
          </cell>
          <cell r="IN45">
            <v>0</v>
          </cell>
          <cell r="IO45">
            <v>0</v>
          </cell>
          <cell r="IP45" t="str">
            <v>nd</v>
          </cell>
          <cell r="IQ45" t="str">
            <v>nd</v>
          </cell>
          <cell r="IR45">
            <v>0</v>
          </cell>
          <cell r="IS45">
            <v>0</v>
          </cell>
          <cell r="IT45">
            <v>0</v>
          </cell>
          <cell r="IU45">
            <v>0</v>
          </cell>
          <cell r="IV45" t="str">
            <v>nd</v>
          </cell>
          <cell r="IW45">
            <v>0</v>
          </cell>
          <cell r="IX45">
            <v>0</v>
          </cell>
          <cell r="IY45">
            <v>0</v>
          </cell>
          <cell r="IZ45">
            <v>0</v>
          </cell>
          <cell r="JA45" t="str">
            <v>nd</v>
          </cell>
          <cell r="JB45">
            <v>49.896956599999996</v>
          </cell>
          <cell r="JC45">
            <v>12.693052699999999</v>
          </cell>
          <cell r="JD45">
            <v>0</v>
          </cell>
          <cell r="JE45">
            <v>0</v>
          </cell>
          <cell r="JF45">
            <v>0</v>
          </cell>
          <cell r="JG45">
            <v>0</v>
          </cell>
          <cell r="JH45" t="str">
            <v>nd</v>
          </cell>
          <cell r="JI45">
            <v>0</v>
          </cell>
          <cell r="JJ45">
            <v>0</v>
          </cell>
          <cell r="JK45">
            <v>0</v>
          </cell>
          <cell r="JL45">
            <v>0</v>
          </cell>
          <cell r="JM45">
            <v>0</v>
          </cell>
          <cell r="JN45">
            <v>0</v>
          </cell>
          <cell r="JO45">
            <v>0</v>
          </cell>
          <cell r="JP45">
            <v>0</v>
          </cell>
          <cell r="JQ45">
            <v>0</v>
          </cell>
          <cell r="JR45">
            <v>0</v>
          </cell>
          <cell r="JS45">
            <v>0</v>
          </cell>
          <cell r="JT45" t="str">
            <v>nd</v>
          </cell>
          <cell r="JU45">
            <v>0</v>
          </cell>
          <cell r="JV45">
            <v>0</v>
          </cell>
          <cell r="JW45">
            <v>0</v>
          </cell>
          <cell r="JX45">
            <v>0</v>
          </cell>
          <cell r="JY45">
            <v>0</v>
          </cell>
          <cell r="JZ45" t="str">
            <v>nd</v>
          </cell>
          <cell r="KA45">
            <v>0</v>
          </cell>
          <cell r="KB45">
            <v>0</v>
          </cell>
          <cell r="KC45">
            <v>0</v>
          </cell>
          <cell r="KD45">
            <v>0</v>
          </cell>
          <cell r="KE45">
            <v>0</v>
          </cell>
          <cell r="KF45">
            <v>72.232112299999997</v>
          </cell>
          <cell r="KG45">
            <v>0</v>
          </cell>
          <cell r="KH45">
            <v>0</v>
          </cell>
          <cell r="KI45">
            <v>0</v>
          </cell>
          <cell r="KJ45">
            <v>0</v>
          </cell>
          <cell r="KK45">
            <v>0</v>
          </cell>
          <cell r="KL45" t="str">
            <v>nd</v>
          </cell>
          <cell r="KM45">
            <v>77.400000000000006</v>
          </cell>
          <cell r="KN45">
            <v>6.1</v>
          </cell>
          <cell r="KO45">
            <v>2.9000000000000004</v>
          </cell>
          <cell r="KP45">
            <v>7.0000000000000009</v>
          </cell>
          <cell r="KQ45">
            <v>6.6000000000000005</v>
          </cell>
          <cell r="KR45">
            <v>0</v>
          </cell>
          <cell r="KS45">
            <v>76</v>
          </cell>
          <cell r="KT45">
            <v>7.1</v>
          </cell>
          <cell r="KU45">
            <v>2.6</v>
          </cell>
          <cell r="KV45">
            <v>7.3</v>
          </cell>
          <cell r="KW45">
            <v>6.9</v>
          </cell>
          <cell r="KX45">
            <v>0</v>
          </cell>
          <cell r="KY45"/>
          <cell r="KZ45"/>
          <cell r="LA45"/>
          <cell r="LB45"/>
          <cell r="LC45"/>
          <cell r="LD45"/>
          <cell r="LE45"/>
          <cell r="LF45"/>
          <cell r="LG45"/>
          <cell r="LH45"/>
          <cell r="LI45"/>
          <cell r="LJ45"/>
          <cell r="LK45"/>
          <cell r="LL45"/>
          <cell r="LM45"/>
          <cell r="LN45"/>
          <cell r="LO45"/>
        </row>
        <row r="46">
          <cell r="A46" t="str">
            <v>4DE</v>
          </cell>
          <cell r="B46" t="str">
            <v>46</v>
          </cell>
          <cell r="C46" t="str">
            <v>NAF 17</v>
          </cell>
          <cell r="D46" t="str">
            <v>DE</v>
          </cell>
          <cell r="E46" t="str">
            <v>4</v>
          </cell>
          <cell r="F46">
            <v>0</v>
          </cell>
          <cell r="G46">
            <v>0</v>
          </cell>
          <cell r="H46">
            <v>39.1</v>
          </cell>
          <cell r="I46">
            <v>54.800000000000004</v>
          </cell>
          <cell r="J46">
            <v>6.1</v>
          </cell>
          <cell r="K46">
            <v>73.900000000000006</v>
          </cell>
          <cell r="L46" t="str">
            <v>nd</v>
          </cell>
          <cell r="M46" t="str">
            <v>nd</v>
          </cell>
          <cell r="N46">
            <v>0</v>
          </cell>
          <cell r="O46">
            <v>30.099999999999998</v>
          </cell>
          <cell r="P46">
            <v>48.199999999999996</v>
          </cell>
          <cell r="Q46">
            <v>20.5</v>
          </cell>
          <cell r="R46">
            <v>0</v>
          </cell>
          <cell r="S46">
            <v>9.5</v>
          </cell>
          <cell r="T46">
            <v>24.099999999999998</v>
          </cell>
          <cell r="U46">
            <v>1.7999999999999998</v>
          </cell>
          <cell r="V46">
            <v>42.699999999999996</v>
          </cell>
          <cell r="W46" t="str">
            <v>nd</v>
          </cell>
          <cell r="X46">
            <v>95.7</v>
          </cell>
          <cell r="Y46" t="str">
            <v>nd</v>
          </cell>
          <cell r="Z46">
            <v>0</v>
          </cell>
          <cell r="AA46" t="str">
            <v>nd</v>
          </cell>
          <cell r="AB46">
            <v>0</v>
          </cell>
          <cell r="AC46" t="str">
            <v>nd</v>
          </cell>
          <cell r="AD46">
            <v>0</v>
          </cell>
          <cell r="AE46">
            <v>62.7</v>
          </cell>
          <cell r="AF46">
            <v>37.299999999999997</v>
          </cell>
          <cell r="AG46">
            <v>59.099999999999994</v>
          </cell>
          <cell r="AH46">
            <v>40.9</v>
          </cell>
          <cell r="AI46">
            <v>40.6</v>
          </cell>
          <cell r="AJ46">
            <v>0</v>
          </cell>
          <cell r="AK46">
            <v>0</v>
          </cell>
          <cell r="AL46">
            <v>36.799999999999997</v>
          </cell>
          <cell r="AM46">
            <v>22.7</v>
          </cell>
          <cell r="AN46" t="str">
            <v>nd</v>
          </cell>
          <cell r="AO46">
            <v>0</v>
          </cell>
          <cell r="AP46">
            <v>0</v>
          </cell>
          <cell r="AQ46">
            <v>77.100000000000009</v>
          </cell>
          <cell r="AR46">
            <v>16.3</v>
          </cell>
          <cell r="AS46">
            <v>64.099999999999994</v>
          </cell>
          <cell r="AT46">
            <v>26</v>
          </cell>
          <cell r="AU46" t="str">
            <v>nd</v>
          </cell>
          <cell r="AV46" t="str">
            <v>nd</v>
          </cell>
          <cell r="AW46">
            <v>0</v>
          </cell>
          <cell r="AX46" t="str">
            <v>nd</v>
          </cell>
          <cell r="AY46" t="str">
            <v>nd</v>
          </cell>
          <cell r="AZ46" t="str">
            <v>nd</v>
          </cell>
          <cell r="BA46" t="str">
            <v>nd</v>
          </cell>
          <cell r="BB46">
            <v>32.5</v>
          </cell>
          <cell r="BC46">
            <v>35.299999999999997</v>
          </cell>
          <cell r="BD46">
            <v>27.900000000000002</v>
          </cell>
          <cell r="BE46">
            <v>0</v>
          </cell>
          <cell r="BF46">
            <v>0</v>
          </cell>
          <cell r="BG46" t="str">
            <v>nd</v>
          </cell>
          <cell r="BH46">
            <v>3.6999999999999997</v>
          </cell>
          <cell r="BI46">
            <v>51</v>
          </cell>
          <cell r="BJ46">
            <v>41.6</v>
          </cell>
          <cell r="BK46">
            <v>0</v>
          </cell>
          <cell r="BL46">
            <v>0</v>
          </cell>
          <cell r="BM46">
            <v>0</v>
          </cell>
          <cell r="BN46" t="str">
            <v>nd</v>
          </cell>
          <cell r="BO46">
            <v>84.899999999999991</v>
          </cell>
          <cell r="BP46">
            <v>10.4</v>
          </cell>
          <cell r="BQ46">
            <v>0</v>
          </cell>
          <cell r="BR46">
            <v>0</v>
          </cell>
          <cell r="BS46" t="str">
            <v>nd</v>
          </cell>
          <cell r="BT46">
            <v>2.9000000000000004</v>
          </cell>
          <cell r="BU46">
            <v>88.3</v>
          </cell>
          <cell r="BV46">
            <v>7.8</v>
          </cell>
          <cell r="BW46">
            <v>0</v>
          </cell>
          <cell r="BX46">
            <v>0</v>
          </cell>
          <cell r="BY46">
            <v>0</v>
          </cell>
          <cell r="BZ46">
            <v>0</v>
          </cell>
          <cell r="CA46">
            <v>0</v>
          </cell>
          <cell r="CB46">
            <v>100</v>
          </cell>
          <cell r="CC46">
            <v>18.600000000000001</v>
          </cell>
          <cell r="CD46">
            <v>20.9</v>
          </cell>
          <cell r="CE46">
            <v>0</v>
          </cell>
          <cell r="CF46">
            <v>0</v>
          </cell>
          <cell r="CG46">
            <v>0</v>
          </cell>
          <cell r="CH46">
            <v>13.100000000000001</v>
          </cell>
          <cell r="CI46">
            <v>7.3999999999999995</v>
          </cell>
          <cell r="CJ46">
            <v>57.499999999999993</v>
          </cell>
          <cell r="CK46">
            <v>28.499999999999996</v>
          </cell>
          <cell r="CL46" t="str">
            <v>nd</v>
          </cell>
          <cell r="CM46" t="str">
            <v>nd</v>
          </cell>
          <cell r="CN46">
            <v>0</v>
          </cell>
          <cell r="CO46">
            <v>70.7</v>
          </cell>
          <cell r="CP46">
            <v>7.3</v>
          </cell>
          <cell r="CQ46">
            <v>54.800000000000004</v>
          </cell>
          <cell r="CR46" t="str">
            <v>nd</v>
          </cell>
          <cell r="CS46">
            <v>34.1</v>
          </cell>
          <cell r="CT46">
            <v>17.8</v>
          </cell>
          <cell r="CU46">
            <v>82.199999999999989</v>
          </cell>
          <cell r="CV46">
            <v>21.099999999999998</v>
          </cell>
          <cell r="CW46">
            <v>78.900000000000006</v>
          </cell>
          <cell r="CX46">
            <v>27.900000000000002</v>
          </cell>
          <cell r="CY46">
            <v>39.900000000000006</v>
          </cell>
          <cell r="CZ46">
            <v>32.200000000000003</v>
          </cell>
          <cell r="DA46" t="str">
            <v>nd</v>
          </cell>
          <cell r="DB46">
            <v>0</v>
          </cell>
          <cell r="DC46" t="str">
            <v>nd</v>
          </cell>
          <cell r="DD46">
            <v>0</v>
          </cell>
          <cell r="DE46">
            <v>86.8</v>
          </cell>
          <cell r="DF46">
            <v>20</v>
          </cell>
          <cell r="DG46">
            <v>11.799999999999999</v>
          </cell>
          <cell r="DH46">
            <v>16.2</v>
          </cell>
          <cell r="DI46">
            <v>16.600000000000001</v>
          </cell>
          <cell r="DJ46">
            <v>12.7</v>
          </cell>
          <cell r="DK46">
            <v>22.6</v>
          </cell>
          <cell r="DL46">
            <v>29.299999999999997</v>
          </cell>
          <cell r="DM46">
            <v>26.3</v>
          </cell>
          <cell r="DN46" t="str">
            <v>nd</v>
          </cell>
          <cell r="DO46">
            <v>6.7</v>
          </cell>
          <cell r="DP46">
            <v>2</v>
          </cell>
          <cell r="DQ46" t="str">
            <v>nd</v>
          </cell>
          <cell r="DR46">
            <v>7.9</v>
          </cell>
          <cell r="DS46">
            <v>15.4</v>
          </cell>
          <cell r="DT46">
            <v>41.5</v>
          </cell>
          <cell r="DU46">
            <v>0</v>
          </cell>
          <cell r="DV46">
            <v>0</v>
          </cell>
          <cell r="DW46">
            <v>0</v>
          </cell>
          <cell r="DX46">
            <v>0</v>
          </cell>
          <cell r="DY46">
            <v>0</v>
          </cell>
          <cell r="DZ46">
            <v>0</v>
          </cell>
          <cell r="EA46">
            <v>0</v>
          </cell>
          <cell r="EB46">
            <v>0</v>
          </cell>
          <cell r="EC46">
            <v>0</v>
          </cell>
          <cell r="ED46">
            <v>0</v>
          </cell>
          <cell r="EE46">
            <v>0</v>
          </cell>
          <cell r="EF46">
            <v>20.795827899999999</v>
          </cell>
          <cell r="EG46">
            <v>10.7015476</v>
          </cell>
          <cell r="EH46" t="str">
            <v>nd</v>
          </cell>
          <cell r="EI46">
            <v>0</v>
          </cell>
          <cell r="EJ46">
            <v>0</v>
          </cell>
          <cell r="EK46" t="str">
            <v>nd</v>
          </cell>
          <cell r="EL46">
            <v>37.198197300000004</v>
          </cell>
          <cell r="EM46">
            <v>15.265900199999999</v>
          </cell>
          <cell r="EN46">
            <v>0</v>
          </cell>
          <cell r="EO46" t="str">
            <v>nd</v>
          </cell>
          <cell r="EP46">
            <v>0</v>
          </cell>
          <cell r="EQ46" t="str">
            <v>nd</v>
          </cell>
          <cell r="ER46">
            <v>6.1013099999999998</v>
          </cell>
          <cell r="ES46">
            <v>0</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t="str">
            <v>nd</v>
          </cell>
          <cell r="FL46" t="str">
            <v>nd</v>
          </cell>
          <cell r="FM46">
            <v>12.8461783</v>
          </cell>
          <cell r="FN46">
            <v>15.8690301</v>
          </cell>
          <cell r="FO46" t="str">
            <v>nd</v>
          </cell>
          <cell r="FP46" t="str">
            <v>nd</v>
          </cell>
          <cell r="FQ46">
            <v>0</v>
          </cell>
          <cell r="FR46">
            <v>25.120037</v>
          </cell>
          <cell r="FS46">
            <v>18.029693399999999</v>
          </cell>
          <cell r="FT46">
            <v>10.391156499999999</v>
          </cell>
          <cell r="FU46">
            <v>0</v>
          </cell>
          <cell r="FV46">
            <v>0</v>
          </cell>
          <cell r="FW46">
            <v>0</v>
          </cell>
          <cell r="FX46">
            <v>0</v>
          </cell>
          <cell r="FY46" t="str">
            <v>nd</v>
          </cell>
          <cell r="FZ46" t="str">
            <v>nd</v>
          </cell>
          <cell r="GA46">
            <v>0</v>
          </cell>
          <cell r="GB46">
            <v>0</v>
          </cell>
          <cell r="GC46">
            <v>0</v>
          </cell>
          <cell r="GD46">
            <v>0</v>
          </cell>
          <cell r="GE46">
            <v>0</v>
          </cell>
          <cell r="GF46">
            <v>0</v>
          </cell>
          <cell r="GG46">
            <v>0</v>
          </cell>
          <cell r="GH46">
            <v>0</v>
          </cell>
          <cell r="GI46">
            <v>0</v>
          </cell>
          <cell r="GJ46">
            <v>0</v>
          </cell>
          <cell r="GK46">
            <v>0</v>
          </cell>
          <cell r="GL46">
            <v>0</v>
          </cell>
          <cell r="GM46">
            <v>0</v>
          </cell>
          <cell r="GN46" t="str">
            <v>nd</v>
          </cell>
          <cell r="GO46" t="str">
            <v>nd</v>
          </cell>
          <cell r="GP46">
            <v>25.941790199999996</v>
          </cell>
          <cell r="GQ46">
            <v>8.9794871000000001</v>
          </cell>
          <cell r="GR46">
            <v>0</v>
          </cell>
          <cell r="GS46">
            <v>0</v>
          </cell>
          <cell r="GT46">
            <v>0</v>
          </cell>
          <cell r="GU46" t="str">
            <v>nd</v>
          </cell>
          <cell r="GV46">
            <v>25.039613300000003</v>
          </cell>
          <cell r="GW46">
            <v>28.284529299999999</v>
          </cell>
          <cell r="GX46">
            <v>0</v>
          </cell>
          <cell r="GY46">
            <v>0</v>
          </cell>
          <cell r="GZ46">
            <v>0</v>
          </cell>
          <cell r="HA46" t="str">
            <v>nd</v>
          </cell>
          <cell r="HB46">
            <v>0</v>
          </cell>
          <cell r="HC46" t="str">
            <v>nd</v>
          </cell>
          <cell r="HD46">
            <v>0</v>
          </cell>
          <cell r="HE46">
            <v>0</v>
          </cell>
          <cell r="HF46">
            <v>0</v>
          </cell>
          <cell r="HG46">
            <v>0</v>
          </cell>
          <cell r="HH46">
            <v>0</v>
          </cell>
          <cell r="HI46">
            <v>0</v>
          </cell>
          <cell r="HJ46">
            <v>0</v>
          </cell>
          <cell r="HK46">
            <v>0</v>
          </cell>
          <cell r="HL46">
            <v>0</v>
          </cell>
          <cell r="HM46">
            <v>0</v>
          </cell>
          <cell r="HN46">
            <v>0</v>
          </cell>
          <cell r="HO46">
            <v>0</v>
          </cell>
          <cell r="HP46">
            <v>0</v>
          </cell>
          <cell r="HQ46">
            <v>0</v>
          </cell>
          <cell r="HR46">
            <v>0</v>
          </cell>
          <cell r="HS46">
            <v>35.334118799999999</v>
          </cell>
          <cell r="HT46" t="str">
            <v>nd</v>
          </cell>
          <cell r="HU46">
            <v>0</v>
          </cell>
          <cell r="HV46">
            <v>0</v>
          </cell>
          <cell r="HW46">
            <v>0</v>
          </cell>
          <cell r="HX46" t="str">
            <v>nd</v>
          </cell>
          <cell r="HY46">
            <v>44.357701399999996</v>
          </cell>
          <cell r="HZ46">
            <v>5.68973</v>
          </cell>
          <cell r="IA46">
            <v>0</v>
          </cell>
          <cell r="IB46">
            <v>0</v>
          </cell>
          <cell r="IC46">
            <v>0</v>
          </cell>
          <cell r="ID46">
            <v>0</v>
          </cell>
          <cell r="IE46">
            <v>5.84598</v>
          </cell>
          <cell r="IF46">
            <v>0</v>
          </cell>
          <cell r="IG46">
            <v>0</v>
          </cell>
          <cell r="IH46">
            <v>0</v>
          </cell>
          <cell r="II46">
            <v>0</v>
          </cell>
          <cell r="IJ46">
            <v>0</v>
          </cell>
          <cell r="IK46">
            <v>0</v>
          </cell>
          <cell r="IL46">
            <v>0</v>
          </cell>
          <cell r="IM46">
            <v>0</v>
          </cell>
          <cell r="IN46">
            <v>0</v>
          </cell>
          <cell r="IO46">
            <v>0</v>
          </cell>
          <cell r="IP46">
            <v>0</v>
          </cell>
          <cell r="IQ46">
            <v>0</v>
          </cell>
          <cell r="IR46">
            <v>0</v>
          </cell>
          <cell r="IS46">
            <v>0</v>
          </cell>
          <cell r="IT46">
            <v>0</v>
          </cell>
          <cell r="IU46">
            <v>0</v>
          </cell>
          <cell r="IV46">
            <v>35.771059300000005</v>
          </cell>
          <cell r="IW46" t="str">
            <v>nd</v>
          </cell>
          <cell r="IX46">
            <v>0</v>
          </cell>
          <cell r="IY46">
            <v>0</v>
          </cell>
          <cell r="IZ46" t="str">
            <v>nd</v>
          </cell>
          <cell r="JA46">
            <v>3.5776000000000003</v>
          </cell>
          <cell r="JB46">
            <v>46.151073400000001</v>
          </cell>
          <cell r="JC46">
            <v>3.5323000000000002</v>
          </cell>
          <cell r="JD46">
            <v>0</v>
          </cell>
          <cell r="JE46">
            <v>0</v>
          </cell>
          <cell r="JF46">
            <v>0</v>
          </cell>
          <cell r="JG46">
            <v>0</v>
          </cell>
          <cell r="JH46">
            <v>5.6658499999999998</v>
          </cell>
          <cell r="JI46">
            <v>0</v>
          </cell>
          <cell r="JJ46">
            <v>0</v>
          </cell>
          <cell r="JK46">
            <v>0</v>
          </cell>
          <cell r="JL46">
            <v>0</v>
          </cell>
          <cell r="JM46">
            <v>0</v>
          </cell>
          <cell r="JN46">
            <v>0</v>
          </cell>
          <cell r="JO46">
            <v>0</v>
          </cell>
          <cell r="JP46">
            <v>0</v>
          </cell>
          <cell r="JQ46">
            <v>0</v>
          </cell>
          <cell r="JR46">
            <v>0</v>
          </cell>
          <cell r="JS46">
            <v>0</v>
          </cell>
          <cell r="JT46">
            <v>0</v>
          </cell>
          <cell r="JU46">
            <v>0</v>
          </cell>
          <cell r="JV46">
            <v>0</v>
          </cell>
          <cell r="JW46">
            <v>0</v>
          </cell>
          <cell r="JX46">
            <v>0</v>
          </cell>
          <cell r="JY46">
            <v>0</v>
          </cell>
          <cell r="JZ46">
            <v>39.569542499999997</v>
          </cell>
          <cell r="KA46">
            <v>0</v>
          </cell>
          <cell r="KB46">
            <v>0</v>
          </cell>
          <cell r="KC46">
            <v>0</v>
          </cell>
          <cell r="KD46">
            <v>0</v>
          </cell>
          <cell r="KE46">
            <v>0</v>
          </cell>
          <cell r="KF46">
            <v>54.545884600000008</v>
          </cell>
          <cell r="KG46">
            <v>0</v>
          </cell>
          <cell r="KH46">
            <v>0</v>
          </cell>
          <cell r="KI46">
            <v>0</v>
          </cell>
          <cell r="KJ46">
            <v>0</v>
          </cell>
          <cell r="KK46">
            <v>0</v>
          </cell>
          <cell r="KL46">
            <v>5.8845700000000001</v>
          </cell>
          <cell r="KM46">
            <v>75.5</v>
          </cell>
          <cell r="KN46">
            <v>9.7000000000000011</v>
          </cell>
          <cell r="KO46">
            <v>4.5999999999999996</v>
          </cell>
          <cell r="KP46">
            <v>5</v>
          </cell>
          <cell r="KQ46">
            <v>5.2</v>
          </cell>
          <cell r="KR46">
            <v>0</v>
          </cell>
          <cell r="KS46">
            <v>73.2</v>
          </cell>
          <cell r="KT46">
            <v>11.600000000000001</v>
          </cell>
          <cell r="KU46">
            <v>4.7</v>
          </cell>
          <cell r="KV46">
            <v>5.3</v>
          </cell>
          <cell r="KW46">
            <v>5.2</v>
          </cell>
          <cell r="KX46">
            <v>0</v>
          </cell>
          <cell r="KY46"/>
          <cell r="KZ46"/>
          <cell r="LA46"/>
          <cell r="LB46"/>
          <cell r="LC46"/>
          <cell r="LD46"/>
          <cell r="LE46"/>
          <cell r="LF46"/>
          <cell r="LG46"/>
          <cell r="LH46"/>
          <cell r="LI46"/>
          <cell r="LJ46"/>
          <cell r="LK46"/>
          <cell r="LL46"/>
          <cell r="LM46"/>
          <cell r="LN46"/>
          <cell r="LO46"/>
        </row>
        <row r="47">
          <cell r="A47" t="str">
            <v>5DE</v>
          </cell>
          <cell r="B47" t="str">
            <v>47</v>
          </cell>
          <cell r="C47" t="str">
            <v>NAF 17</v>
          </cell>
          <cell r="D47" t="str">
            <v>DE</v>
          </cell>
          <cell r="E47" t="str">
            <v>5</v>
          </cell>
          <cell r="F47">
            <v>0</v>
          </cell>
          <cell r="G47" t="str">
            <v>nd</v>
          </cell>
          <cell r="H47">
            <v>38.200000000000003</v>
          </cell>
          <cell r="I47">
            <v>54.2</v>
          </cell>
          <cell r="J47" t="str">
            <v>nd</v>
          </cell>
          <cell r="K47">
            <v>72.8</v>
          </cell>
          <cell r="L47">
            <v>0</v>
          </cell>
          <cell r="M47" t="str">
            <v>nd</v>
          </cell>
          <cell r="N47">
            <v>15.2</v>
          </cell>
          <cell r="O47">
            <v>18.600000000000001</v>
          </cell>
          <cell r="P47">
            <v>36.6</v>
          </cell>
          <cell r="Q47">
            <v>19.5</v>
          </cell>
          <cell r="R47">
            <v>13.600000000000001</v>
          </cell>
          <cell r="S47">
            <v>11.600000000000001</v>
          </cell>
          <cell r="T47">
            <v>18.8</v>
          </cell>
          <cell r="U47">
            <v>0</v>
          </cell>
          <cell r="V47">
            <v>28.1</v>
          </cell>
          <cell r="W47">
            <v>0</v>
          </cell>
          <cell r="X47">
            <v>87.3</v>
          </cell>
          <cell r="Y47" t="str">
            <v>nd</v>
          </cell>
          <cell r="Z47">
            <v>0</v>
          </cell>
          <cell r="AA47">
            <v>0</v>
          </cell>
          <cell r="AB47">
            <v>0</v>
          </cell>
          <cell r="AC47">
            <v>0</v>
          </cell>
          <cell r="AD47">
            <v>0</v>
          </cell>
          <cell r="AE47">
            <v>64.400000000000006</v>
          </cell>
          <cell r="AF47">
            <v>35.6</v>
          </cell>
          <cell r="AG47">
            <v>55.1</v>
          </cell>
          <cell r="AH47">
            <v>44.9</v>
          </cell>
          <cell r="AI47">
            <v>10.6</v>
          </cell>
          <cell r="AJ47">
            <v>0</v>
          </cell>
          <cell r="AK47">
            <v>9.8000000000000007</v>
          </cell>
          <cell r="AL47">
            <v>46.5</v>
          </cell>
          <cell r="AM47">
            <v>33.1</v>
          </cell>
          <cell r="AN47" t="str">
            <v>nd</v>
          </cell>
          <cell r="AO47">
            <v>0</v>
          </cell>
          <cell r="AP47">
            <v>0</v>
          </cell>
          <cell r="AQ47">
            <v>89.4</v>
          </cell>
          <cell r="AR47" t="str">
            <v>nd</v>
          </cell>
          <cell r="AS47">
            <v>72.899999999999991</v>
          </cell>
          <cell r="AT47">
            <v>21.4</v>
          </cell>
          <cell r="AU47" t="str">
            <v>nd</v>
          </cell>
          <cell r="AV47">
            <v>0</v>
          </cell>
          <cell r="AW47">
            <v>0</v>
          </cell>
          <cell r="AX47" t="str">
            <v>nd</v>
          </cell>
          <cell r="AY47">
            <v>0</v>
          </cell>
          <cell r="AZ47" t="str">
            <v>nd</v>
          </cell>
          <cell r="BA47">
            <v>8.5</v>
          </cell>
          <cell r="BB47">
            <v>31.7</v>
          </cell>
          <cell r="BC47">
            <v>36.5</v>
          </cell>
          <cell r="BD47">
            <v>20.5</v>
          </cell>
          <cell r="BE47">
            <v>0</v>
          </cell>
          <cell r="BF47">
            <v>0</v>
          </cell>
          <cell r="BG47">
            <v>0</v>
          </cell>
          <cell r="BH47">
            <v>0</v>
          </cell>
          <cell r="BI47">
            <v>47.699999999999996</v>
          </cell>
          <cell r="BJ47">
            <v>52.300000000000004</v>
          </cell>
          <cell r="BK47">
            <v>0</v>
          </cell>
          <cell r="BL47">
            <v>0</v>
          </cell>
          <cell r="BM47">
            <v>0</v>
          </cell>
          <cell r="BN47">
            <v>8.5</v>
          </cell>
          <cell r="BO47">
            <v>63.4</v>
          </cell>
          <cell r="BP47">
            <v>28.1</v>
          </cell>
          <cell r="BQ47">
            <v>0</v>
          </cell>
          <cell r="BR47">
            <v>0</v>
          </cell>
          <cell r="BS47" t="str">
            <v>nd</v>
          </cell>
          <cell r="BT47" t="str">
            <v>nd</v>
          </cell>
          <cell r="BU47">
            <v>74</v>
          </cell>
          <cell r="BV47">
            <v>16.2</v>
          </cell>
          <cell r="BW47">
            <v>0</v>
          </cell>
          <cell r="BX47">
            <v>0</v>
          </cell>
          <cell r="BY47">
            <v>0</v>
          </cell>
          <cell r="BZ47">
            <v>0</v>
          </cell>
          <cell r="CA47" t="str">
            <v>nd</v>
          </cell>
          <cell r="CB47">
            <v>95.899999999999991</v>
          </cell>
          <cell r="CC47">
            <v>30.4</v>
          </cell>
          <cell r="CD47">
            <v>26.700000000000003</v>
          </cell>
          <cell r="CE47">
            <v>0</v>
          </cell>
          <cell r="CF47">
            <v>0</v>
          </cell>
          <cell r="CG47">
            <v>0</v>
          </cell>
          <cell r="CH47">
            <v>31.6</v>
          </cell>
          <cell r="CI47">
            <v>21.3</v>
          </cell>
          <cell r="CJ47">
            <v>35</v>
          </cell>
          <cell r="CK47">
            <v>34.4</v>
          </cell>
          <cell r="CL47">
            <v>14.6</v>
          </cell>
          <cell r="CM47" t="str">
            <v>nd</v>
          </cell>
          <cell r="CN47">
            <v>0</v>
          </cell>
          <cell r="CO47">
            <v>57.9</v>
          </cell>
          <cell r="CP47">
            <v>18.600000000000001</v>
          </cell>
          <cell r="CQ47">
            <v>19</v>
          </cell>
          <cell r="CR47">
            <v>8.1</v>
          </cell>
          <cell r="CS47">
            <v>54.300000000000004</v>
          </cell>
          <cell r="CT47" t="str">
            <v>nd</v>
          </cell>
          <cell r="CU47">
            <v>98.7</v>
          </cell>
          <cell r="CV47" t="str">
            <v>nd</v>
          </cell>
          <cell r="CW47">
            <v>90.8</v>
          </cell>
          <cell r="CX47">
            <v>10.5</v>
          </cell>
          <cell r="CY47">
            <v>20</v>
          </cell>
          <cell r="CZ47">
            <v>69.5</v>
          </cell>
          <cell r="DA47" t="str">
            <v>nd</v>
          </cell>
          <cell r="DB47">
            <v>0</v>
          </cell>
          <cell r="DC47" t="str">
            <v>nd</v>
          </cell>
          <cell r="DD47">
            <v>0</v>
          </cell>
          <cell r="DE47">
            <v>80.2</v>
          </cell>
          <cell r="DF47">
            <v>11.899999999999999</v>
          </cell>
          <cell r="DG47">
            <v>17.5</v>
          </cell>
          <cell r="DH47">
            <v>17.299999999999997</v>
          </cell>
          <cell r="DI47" t="str">
            <v>nd</v>
          </cell>
          <cell r="DJ47">
            <v>18.2</v>
          </cell>
          <cell r="DK47">
            <v>33.300000000000004</v>
          </cell>
          <cell r="DL47" t="str">
            <v>nd</v>
          </cell>
          <cell r="DM47">
            <v>17.2</v>
          </cell>
          <cell r="DN47">
            <v>20.200000000000003</v>
          </cell>
          <cell r="DO47">
            <v>28.999999999999996</v>
          </cell>
          <cell r="DP47">
            <v>7.1999999999999993</v>
          </cell>
          <cell r="DQ47">
            <v>0</v>
          </cell>
          <cell r="DR47">
            <v>0</v>
          </cell>
          <cell r="DS47">
            <v>17.100000000000001</v>
          </cell>
          <cell r="DT47">
            <v>33.300000000000004</v>
          </cell>
          <cell r="DU47">
            <v>0</v>
          </cell>
          <cell r="DV47">
            <v>0</v>
          </cell>
          <cell r="DW47">
            <v>0</v>
          </cell>
          <cell r="DX47">
            <v>0</v>
          </cell>
          <cell r="DY47">
            <v>0</v>
          </cell>
          <cell r="DZ47" t="str">
            <v>nd</v>
          </cell>
          <cell r="EA47">
            <v>0</v>
          </cell>
          <cell r="EB47">
            <v>0</v>
          </cell>
          <cell r="EC47">
            <v>0</v>
          </cell>
          <cell r="ED47">
            <v>0</v>
          </cell>
          <cell r="EE47">
            <v>0</v>
          </cell>
          <cell r="EF47">
            <v>29.674901799999997</v>
          </cell>
          <cell r="EG47">
            <v>8.5018636000000001</v>
          </cell>
          <cell r="EH47">
            <v>0</v>
          </cell>
          <cell r="EI47">
            <v>0</v>
          </cell>
          <cell r="EJ47">
            <v>0</v>
          </cell>
          <cell r="EK47">
            <v>0</v>
          </cell>
          <cell r="EL47">
            <v>39.859183899999998</v>
          </cell>
          <cell r="EM47">
            <v>12.9064234</v>
          </cell>
          <cell r="EN47" t="str">
            <v>nd</v>
          </cell>
          <cell r="EO47">
            <v>0</v>
          </cell>
          <cell r="EP47">
            <v>0</v>
          </cell>
          <cell r="EQ47" t="str">
            <v>nd</v>
          </cell>
          <cell r="ER47" t="str">
            <v>nd</v>
          </cell>
          <cell r="ES47">
            <v>0</v>
          </cell>
          <cell r="ET47" t="str">
            <v>nd</v>
          </cell>
          <cell r="EU47">
            <v>0</v>
          </cell>
          <cell r="EV47">
            <v>0</v>
          </cell>
          <cell r="EW47">
            <v>0</v>
          </cell>
          <cell r="EX47">
            <v>0</v>
          </cell>
          <cell r="EY47">
            <v>0</v>
          </cell>
          <cell r="EZ47">
            <v>0</v>
          </cell>
          <cell r="FA47">
            <v>0</v>
          </cell>
          <cell r="FB47">
            <v>0</v>
          </cell>
          <cell r="FC47">
            <v>0</v>
          </cell>
          <cell r="FD47">
            <v>0</v>
          </cell>
          <cell r="FE47">
            <v>0</v>
          </cell>
          <cell r="FF47">
            <v>0</v>
          </cell>
          <cell r="FG47">
            <v>0</v>
          </cell>
          <cell r="FH47" t="str">
            <v>nd</v>
          </cell>
          <cell r="FI47">
            <v>0</v>
          </cell>
          <cell r="FJ47" t="str">
            <v>nd</v>
          </cell>
          <cell r="FK47" t="str">
            <v>nd</v>
          </cell>
          <cell r="FL47">
            <v>10.9972338</v>
          </cell>
          <cell r="FM47">
            <v>14.6614839</v>
          </cell>
          <cell r="FN47" t="str">
            <v>nd</v>
          </cell>
          <cell r="FO47">
            <v>0</v>
          </cell>
          <cell r="FP47" t="str">
            <v>nd</v>
          </cell>
          <cell r="FQ47">
            <v>3.57436</v>
          </cell>
          <cell r="FR47">
            <v>16.5095387</v>
          </cell>
          <cell r="FS47">
            <v>21.792088500000002</v>
          </cell>
          <cell r="FT47">
            <v>11.2355131</v>
          </cell>
          <cell r="FU47">
            <v>0</v>
          </cell>
          <cell r="FV47">
            <v>0</v>
          </cell>
          <cell r="FW47" t="str">
            <v>nd</v>
          </cell>
          <cell r="FX47" t="str">
            <v>nd</v>
          </cell>
          <cell r="FY47">
            <v>0</v>
          </cell>
          <cell r="FZ47">
            <v>0</v>
          </cell>
          <cell r="GA47">
            <v>0</v>
          </cell>
          <cell r="GB47">
            <v>0</v>
          </cell>
          <cell r="GC47">
            <v>0</v>
          </cell>
          <cell r="GD47">
            <v>0</v>
          </cell>
          <cell r="GE47">
            <v>0</v>
          </cell>
          <cell r="GF47">
            <v>0</v>
          </cell>
          <cell r="GG47">
            <v>0</v>
          </cell>
          <cell r="GH47">
            <v>0</v>
          </cell>
          <cell r="GI47">
            <v>0</v>
          </cell>
          <cell r="GJ47" t="str">
            <v>nd</v>
          </cell>
          <cell r="GK47">
            <v>0</v>
          </cell>
          <cell r="GL47">
            <v>0</v>
          </cell>
          <cell r="GM47">
            <v>0</v>
          </cell>
          <cell r="GN47">
            <v>0</v>
          </cell>
          <cell r="GO47">
            <v>0</v>
          </cell>
          <cell r="GP47">
            <v>19.405442700000002</v>
          </cell>
          <cell r="GQ47">
            <v>18.631785600000001</v>
          </cell>
          <cell r="GR47">
            <v>0</v>
          </cell>
          <cell r="GS47">
            <v>0</v>
          </cell>
          <cell r="GT47">
            <v>0</v>
          </cell>
          <cell r="GU47">
            <v>0</v>
          </cell>
          <cell r="GV47">
            <v>27.2336156</v>
          </cell>
          <cell r="GW47">
            <v>27.261391699999997</v>
          </cell>
          <cell r="GX47">
            <v>0</v>
          </cell>
          <cell r="GY47">
            <v>0</v>
          </cell>
          <cell r="GZ47">
            <v>0</v>
          </cell>
          <cell r="HA47">
            <v>0</v>
          </cell>
          <cell r="HB47">
            <v>0</v>
          </cell>
          <cell r="HC47" t="str">
            <v>nd</v>
          </cell>
          <cell r="HD47">
            <v>0</v>
          </cell>
          <cell r="HE47">
            <v>0</v>
          </cell>
          <cell r="HF47">
            <v>0</v>
          </cell>
          <cell r="HG47">
            <v>0</v>
          </cell>
          <cell r="HH47">
            <v>0</v>
          </cell>
          <cell r="HI47">
            <v>0</v>
          </cell>
          <cell r="HJ47">
            <v>0</v>
          </cell>
          <cell r="HK47">
            <v>0</v>
          </cell>
          <cell r="HL47">
            <v>0</v>
          </cell>
          <cell r="HM47">
            <v>0</v>
          </cell>
          <cell r="HN47" t="str">
            <v>nd</v>
          </cell>
          <cell r="HO47">
            <v>0</v>
          </cell>
          <cell r="HP47">
            <v>0</v>
          </cell>
          <cell r="HQ47">
            <v>0</v>
          </cell>
          <cell r="HR47" t="str">
            <v>nd</v>
          </cell>
          <cell r="HS47">
            <v>18.696597100000002</v>
          </cell>
          <cell r="HT47" t="str">
            <v>nd</v>
          </cell>
          <cell r="HU47">
            <v>0</v>
          </cell>
          <cell r="HV47">
            <v>0</v>
          </cell>
          <cell r="HW47">
            <v>0</v>
          </cell>
          <cell r="HX47">
            <v>0</v>
          </cell>
          <cell r="HY47">
            <v>40.643929700000001</v>
          </cell>
          <cell r="HZ47">
            <v>13.681685199999999</v>
          </cell>
          <cell r="IA47">
            <v>0</v>
          </cell>
          <cell r="IB47">
            <v>0</v>
          </cell>
          <cell r="IC47">
            <v>0</v>
          </cell>
          <cell r="ID47" t="str">
            <v>nd</v>
          </cell>
          <cell r="IE47" t="str">
            <v>nd</v>
          </cell>
          <cell r="IF47">
            <v>0</v>
          </cell>
          <cell r="IG47">
            <v>0</v>
          </cell>
          <cell r="IH47">
            <v>0</v>
          </cell>
          <cell r="II47">
            <v>0</v>
          </cell>
          <cell r="IJ47">
            <v>0</v>
          </cell>
          <cell r="IK47">
            <v>0</v>
          </cell>
          <cell r="IL47">
            <v>0</v>
          </cell>
          <cell r="IM47">
            <v>0</v>
          </cell>
          <cell r="IN47">
            <v>0</v>
          </cell>
          <cell r="IO47">
            <v>0</v>
          </cell>
          <cell r="IP47">
            <v>0</v>
          </cell>
          <cell r="IQ47" t="str">
            <v>nd</v>
          </cell>
          <cell r="IR47">
            <v>0</v>
          </cell>
          <cell r="IS47">
            <v>0</v>
          </cell>
          <cell r="IT47">
            <v>0</v>
          </cell>
          <cell r="IU47">
            <v>0</v>
          </cell>
          <cell r="IV47">
            <v>23.4359489</v>
          </cell>
          <cell r="IW47" t="str">
            <v>nd</v>
          </cell>
          <cell r="IX47">
            <v>0</v>
          </cell>
          <cell r="IY47">
            <v>0</v>
          </cell>
          <cell r="IZ47" t="str">
            <v>nd</v>
          </cell>
          <cell r="JA47">
            <v>0</v>
          </cell>
          <cell r="JB47">
            <v>50.603900899999999</v>
          </cell>
          <cell r="JC47">
            <v>6.9516033000000004</v>
          </cell>
          <cell r="JD47">
            <v>0</v>
          </cell>
          <cell r="JE47">
            <v>0</v>
          </cell>
          <cell r="JF47">
            <v>0</v>
          </cell>
          <cell r="JG47" t="str">
            <v>nd</v>
          </cell>
          <cell r="JH47">
            <v>0</v>
          </cell>
          <cell r="JI47">
            <v>0</v>
          </cell>
          <cell r="JJ47">
            <v>0</v>
          </cell>
          <cell r="JK47">
            <v>0</v>
          </cell>
          <cell r="JL47">
            <v>0</v>
          </cell>
          <cell r="JM47">
            <v>0</v>
          </cell>
          <cell r="JN47">
            <v>0</v>
          </cell>
          <cell r="JO47">
            <v>0</v>
          </cell>
          <cell r="JP47">
            <v>0</v>
          </cell>
          <cell r="JQ47">
            <v>0</v>
          </cell>
          <cell r="JR47">
            <v>0</v>
          </cell>
          <cell r="JS47">
            <v>0</v>
          </cell>
          <cell r="JT47" t="str">
            <v>nd</v>
          </cell>
          <cell r="JU47">
            <v>0</v>
          </cell>
          <cell r="JV47">
            <v>0</v>
          </cell>
          <cell r="JW47">
            <v>0</v>
          </cell>
          <cell r="JX47">
            <v>0</v>
          </cell>
          <cell r="JY47" t="str">
            <v>nd</v>
          </cell>
          <cell r="JZ47">
            <v>34.265421199999999</v>
          </cell>
          <cell r="KA47">
            <v>0</v>
          </cell>
          <cell r="KB47">
            <v>0</v>
          </cell>
          <cell r="KC47">
            <v>0</v>
          </cell>
          <cell r="KD47">
            <v>0</v>
          </cell>
          <cell r="KE47">
            <v>0</v>
          </cell>
          <cell r="KF47">
            <v>58.084769100000003</v>
          </cell>
          <cell r="KG47">
            <v>0</v>
          </cell>
          <cell r="KH47">
            <v>0</v>
          </cell>
          <cell r="KI47">
            <v>0</v>
          </cell>
          <cell r="KJ47">
            <v>0</v>
          </cell>
          <cell r="KK47">
            <v>0</v>
          </cell>
          <cell r="KL47" t="str">
            <v>nd</v>
          </cell>
          <cell r="KM47">
            <v>76.400000000000006</v>
          </cell>
          <cell r="KN47">
            <v>11.600000000000001</v>
          </cell>
          <cell r="KO47">
            <v>2.2999999999999998</v>
          </cell>
          <cell r="KP47">
            <v>4.1000000000000005</v>
          </cell>
          <cell r="KQ47">
            <v>5.4</v>
          </cell>
          <cell r="KR47">
            <v>0.2</v>
          </cell>
          <cell r="KS47">
            <v>74.400000000000006</v>
          </cell>
          <cell r="KT47">
            <v>13.3</v>
          </cell>
          <cell r="KU47">
            <v>2.1999999999999997</v>
          </cell>
          <cell r="KV47">
            <v>4.5</v>
          </cell>
          <cell r="KW47">
            <v>5.5</v>
          </cell>
          <cell r="KX47">
            <v>0.1</v>
          </cell>
          <cell r="KY47"/>
          <cell r="KZ47"/>
          <cell r="LA47"/>
          <cell r="LB47"/>
          <cell r="LC47"/>
          <cell r="LD47"/>
          <cell r="LE47"/>
          <cell r="LF47"/>
          <cell r="LG47"/>
          <cell r="LH47"/>
          <cell r="LI47"/>
          <cell r="LJ47"/>
          <cell r="LK47"/>
          <cell r="LL47"/>
          <cell r="LM47"/>
          <cell r="LN47"/>
          <cell r="LO47"/>
        </row>
        <row r="48">
          <cell r="A48" t="str">
            <v>6DE</v>
          </cell>
          <cell r="B48" t="str">
            <v>48</v>
          </cell>
          <cell r="C48" t="str">
            <v>NAF 17</v>
          </cell>
          <cell r="D48" t="str">
            <v>DE</v>
          </cell>
          <cell r="E48" t="str">
            <v>6</v>
          </cell>
          <cell r="F48">
            <v>0</v>
          </cell>
          <cell r="G48">
            <v>0</v>
          </cell>
          <cell r="H48">
            <v>67.800000000000011</v>
          </cell>
          <cell r="I48">
            <v>32.200000000000003</v>
          </cell>
          <cell r="J48">
            <v>0</v>
          </cell>
          <cell r="K48">
            <v>83.3</v>
          </cell>
          <cell r="L48">
            <v>15.8</v>
          </cell>
          <cell r="M48" t="str">
            <v>nd</v>
          </cell>
          <cell r="N48">
            <v>0</v>
          </cell>
          <cell r="O48">
            <v>50</v>
          </cell>
          <cell r="P48">
            <v>25</v>
          </cell>
          <cell r="Q48" t="str">
            <v>nd</v>
          </cell>
          <cell r="R48">
            <v>23</v>
          </cell>
          <cell r="S48">
            <v>0</v>
          </cell>
          <cell r="T48">
            <v>28.9</v>
          </cell>
          <cell r="U48" t="str">
            <v>nd</v>
          </cell>
          <cell r="V48">
            <v>12</v>
          </cell>
          <cell r="W48" t="str">
            <v>nd</v>
          </cell>
          <cell r="X48">
            <v>94.3</v>
          </cell>
          <cell r="Y48">
            <v>0</v>
          </cell>
          <cell r="Z48">
            <v>0</v>
          </cell>
          <cell r="AA48" t="str">
            <v>nd</v>
          </cell>
          <cell r="AB48">
            <v>0</v>
          </cell>
          <cell r="AC48" t="str">
            <v>nd</v>
          </cell>
          <cell r="AD48">
            <v>0</v>
          </cell>
          <cell r="AE48">
            <v>12.7</v>
          </cell>
          <cell r="AF48">
            <v>87.3</v>
          </cell>
          <cell r="AG48">
            <v>98.4</v>
          </cell>
          <cell r="AH48" t="str">
            <v>nd</v>
          </cell>
          <cell r="AI48" t="str">
            <v>nd</v>
          </cell>
          <cell r="AJ48">
            <v>0</v>
          </cell>
          <cell r="AK48">
            <v>0</v>
          </cell>
          <cell r="AL48">
            <v>52</v>
          </cell>
          <cell r="AM48" t="str">
            <v>nd</v>
          </cell>
          <cell r="AN48">
            <v>0</v>
          </cell>
          <cell r="AO48">
            <v>0</v>
          </cell>
          <cell r="AP48">
            <v>0</v>
          </cell>
          <cell r="AQ48">
            <v>14.299999999999999</v>
          </cell>
          <cell r="AR48">
            <v>85.7</v>
          </cell>
          <cell r="AS48">
            <v>28.299999999999997</v>
          </cell>
          <cell r="AT48">
            <v>57.599999999999994</v>
          </cell>
          <cell r="AU48">
            <v>11.200000000000001</v>
          </cell>
          <cell r="AV48" t="str">
            <v>nd</v>
          </cell>
          <cell r="AW48">
            <v>0</v>
          </cell>
          <cell r="AX48" t="str">
            <v>nd</v>
          </cell>
          <cell r="AY48">
            <v>0</v>
          </cell>
          <cell r="AZ48">
            <v>13.5</v>
          </cell>
          <cell r="BA48">
            <v>34.4</v>
          </cell>
          <cell r="BB48">
            <v>18</v>
          </cell>
          <cell r="BC48">
            <v>32.6</v>
          </cell>
          <cell r="BD48">
            <v>1.6</v>
          </cell>
          <cell r="BE48">
            <v>0</v>
          </cell>
          <cell r="BF48">
            <v>0</v>
          </cell>
          <cell r="BG48">
            <v>0</v>
          </cell>
          <cell r="BH48">
            <v>0</v>
          </cell>
          <cell r="BI48">
            <v>12.5</v>
          </cell>
          <cell r="BJ48">
            <v>87.5</v>
          </cell>
          <cell r="BK48">
            <v>0</v>
          </cell>
          <cell r="BL48">
            <v>0</v>
          </cell>
          <cell r="BM48">
            <v>0</v>
          </cell>
          <cell r="BN48" t="str">
            <v>nd</v>
          </cell>
          <cell r="BO48">
            <v>99.5</v>
          </cell>
          <cell r="BP48" t="str">
            <v>nd</v>
          </cell>
          <cell r="BQ48">
            <v>0</v>
          </cell>
          <cell r="BR48">
            <v>0</v>
          </cell>
          <cell r="BS48">
            <v>0</v>
          </cell>
          <cell r="BT48">
            <v>6</v>
          </cell>
          <cell r="BU48">
            <v>89.3</v>
          </cell>
          <cell r="BV48" t="str">
            <v>nd</v>
          </cell>
          <cell r="BW48">
            <v>0</v>
          </cell>
          <cell r="BX48">
            <v>0</v>
          </cell>
          <cell r="BY48">
            <v>0</v>
          </cell>
          <cell r="BZ48" t="str">
            <v>nd</v>
          </cell>
          <cell r="CA48">
            <v>0</v>
          </cell>
          <cell r="CB48">
            <v>99.9</v>
          </cell>
          <cell r="CC48">
            <v>41.9</v>
          </cell>
          <cell r="CD48" t="str">
            <v>nd</v>
          </cell>
          <cell r="CE48">
            <v>0</v>
          </cell>
          <cell r="CF48">
            <v>0</v>
          </cell>
          <cell r="CG48">
            <v>0</v>
          </cell>
          <cell r="CH48">
            <v>0.6</v>
          </cell>
          <cell r="CI48">
            <v>0</v>
          </cell>
          <cell r="CJ48">
            <v>57.499999999999993</v>
          </cell>
          <cell r="CK48">
            <v>20.3</v>
          </cell>
          <cell r="CL48">
            <v>2.9000000000000004</v>
          </cell>
          <cell r="CM48">
            <v>0</v>
          </cell>
          <cell r="CN48">
            <v>0</v>
          </cell>
          <cell r="CO48">
            <v>78.8</v>
          </cell>
          <cell r="CP48" t="str">
            <v>nd</v>
          </cell>
          <cell r="CQ48">
            <v>46.1</v>
          </cell>
          <cell r="CR48">
            <v>0</v>
          </cell>
          <cell r="CS48">
            <v>53.400000000000006</v>
          </cell>
          <cell r="CT48" t="str">
            <v>nd</v>
          </cell>
          <cell r="CU48">
            <v>94</v>
          </cell>
          <cell r="CV48" t="str">
            <v>nd</v>
          </cell>
          <cell r="CW48">
            <v>95.6</v>
          </cell>
          <cell r="CX48" t="str">
            <v>nd</v>
          </cell>
          <cell r="CY48" t="str">
            <v>nd</v>
          </cell>
          <cell r="CZ48">
            <v>96.899999999999991</v>
          </cell>
          <cell r="DA48">
            <v>0</v>
          </cell>
          <cell r="DB48">
            <v>0</v>
          </cell>
          <cell r="DC48">
            <v>0</v>
          </cell>
          <cell r="DD48">
            <v>0</v>
          </cell>
          <cell r="DE48">
            <v>0</v>
          </cell>
          <cell r="DF48">
            <v>5.3</v>
          </cell>
          <cell r="DG48">
            <v>6.5</v>
          </cell>
          <cell r="DH48">
            <v>59.4</v>
          </cell>
          <cell r="DI48">
            <v>10.7</v>
          </cell>
          <cell r="DJ48">
            <v>18.099999999999998</v>
          </cell>
          <cell r="DK48">
            <v>0</v>
          </cell>
          <cell r="DL48">
            <v>24.4</v>
          </cell>
          <cell r="DM48">
            <v>56.499999999999993</v>
          </cell>
          <cell r="DN48" t="str">
            <v>nd</v>
          </cell>
          <cell r="DO48">
            <v>51.6</v>
          </cell>
          <cell r="DP48" t="str">
            <v>nd</v>
          </cell>
          <cell r="DQ48" t="str">
            <v>nd</v>
          </cell>
          <cell r="DR48" t="str">
            <v>nd</v>
          </cell>
          <cell r="DS48">
            <v>13.200000000000001</v>
          </cell>
          <cell r="DT48">
            <v>6.9</v>
          </cell>
          <cell r="DU48">
            <v>0</v>
          </cell>
          <cell r="DV48">
            <v>0</v>
          </cell>
          <cell r="DW48">
            <v>0</v>
          </cell>
          <cell r="DX48">
            <v>0</v>
          </cell>
          <cell r="DY48">
            <v>0</v>
          </cell>
          <cell r="DZ48">
            <v>0</v>
          </cell>
          <cell r="EA48">
            <v>0</v>
          </cell>
          <cell r="EB48">
            <v>0</v>
          </cell>
          <cell r="EC48">
            <v>0</v>
          </cell>
          <cell r="ED48">
            <v>0</v>
          </cell>
          <cell r="EE48">
            <v>0</v>
          </cell>
          <cell r="EF48">
            <v>2.7879100000000001</v>
          </cell>
          <cell r="EG48">
            <v>56.691579400000002</v>
          </cell>
          <cell r="EH48" t="str">
            <v>nd</v>
          </cell>
          <cell r="EI48" t="str">
            <v>nd</v>
          </cell>
          <cell r="EJ48">
            <v>0</v>
          </cell>
          <cell r="EK48" t="str">
            <v>nd</v>
          </cell>
          <cell r="EL48">
            <v>25.540332799999998</v>
          </cell>
          <cell r="EM48" t="str">
            <v>nd</v>
          </cell>
          <cell r="EN48">
            <v>5.6297699999999997</v>
          </cell>
          <cell r="EO48">
            <v>0</v>
          </cell>
          <cell r="EP48">
            <v>0</v>
          </cell>
          <cell r="EQ48" t="str">
            <v>nd</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t="str">
            <v>nd</v>
          </cell>
          <cell r="FK48" t="str">
            <v>nd</v>
          </cell>
          <cell r="FL48">
            <v>17.983965099999999</v>
          </cell>
          <cell r="FM48" t="str">
            <v>nd</v>
          </cell>
          <cell r="FN48" t="str">
            <v>nd</v>
          </cell>
          <cell r="FO48">
            <v>0</v>
          </cell>
          <cell r="FP48">
            <v>5.3306800000000001</v>
          </cell>
          <cell r="FQ48" t="str">
            <v>nd</v>
          </cell>
          <cell r="FR48">
            <v>0</v>
          </cell>
          <cell r="FS48">
            <v>25.540332799999998</v>
          </cell>
          <cell r="FT48" t="str">
            <v>nd</v>
          </cell>
          <cell r="FU48">
            <v>0</v>
          </cell>
          <cell r="FV48">
            <v>0</v>
          </cell>
          <cell r="FW48">
            <v>0</v>
          </cell>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L48">
            <v>0</v>
          </cell>
          <cell r="GM48">
            <v>0</v>
          </cell>
          <cell r="GN48">
            <v>0</v>
          </cell>
          <cell r="GO48">
            <v>0</v>
          </cell>
          <cell r="GP48">
            <v>11.2796995</v>
          </cell>
          <cell r="GQ48">
            <v>56.555364900000008</v>
          </cell>
          <cell r="GR48">
            <v>0</v>
          </cell>
          <cell r="GS48">
            <v>0</v>
          </cell>
          <cell r="GT48">
            <v>0</v>
          </cell>
          <cell r="GU48">
            <v>0</v>
          </cell>
          <cell r="GV48">
            <v>1.22664</v>
          </cell>
          <cell r="GW48">
            <v>30.938296799999996</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cell r="HN48">
            <v>0</v>
          </cell>
          <cell r="HO48">
            <v>0</v>
          </cell>
          <cell r="HP48">
            <v>0</v>
          </cell>
          <cell r="HQ48">
            <v>0</v>
          </cell>
          <cell r="HR48" t="str">
            <v>nd</v>
          </cell>
          <cell r="HS48">
            <v>70.676152099999996</v>
          </cell>
          <cell r="HT48" t="str">
            <v>nd</v>
          </cell>
          <cell r="HU48">
            <v>0</v>
          </cell>
          <cell r="HV48">
            <v>0</v>
          </cell>
          <cell r="HW48">
            <v>0</v>
          </cell>
          <cell r="HX48">
            <v>0</v>
          </cell>
          <cell r="HY48">
            <v>28.840616200000003</v>
          </cell>
          <cell r="HZ48">
            <v>0</v>
          </cell>
          <cell r="IA48">
            <v>0</v>
          </cell>
          <cell r="IB48">
            <v>0</v>
          </cell>
          <cell r="IC48">
            <v>0</v>
          </cell>
          <cell r="ID48">
            <v>0</v>
          </cell>
          <cell r="IE48">
            <v>0</v>
          </cell>
          <cell r="IF48">
            <v>0</v>
          </cell>
          <cell r="IG48">
            <v>0</v>
          </cell>
          <cell r="IH48">
            <v>0</v>
          </cell>
          <cell r="II48">
            <v>0</v>
          </cell>
          <cell r="IJ48">
            <v>0</v>
          </cell>
          <cell r="IK48">
            <v>0</v>
          </cell>
          <cell r="IL48">
            <v>0</v>
          </cell>
          <cell r="IM48">
            <v>0</v>
          </cell>
          <cell r="IN48">
            <v>0</v>
          </cell>
          <cell r="IO48">
            <v>0</v>
          </cell>
          <cell r="IP48">
            <v>0</v>
          </cell>
          <cell r="IQ48">
            <v>0</v>
          </cell>
          <cell r="IR48">
            <v>0</v>
          </cell>
          <cell r="IS48">
            <v>0</v>
          </cell>
          <cell r="IT48">
            <v>0</v>
          </cell>
          <cell r="IU48" t="str">
            <v>nd</v>
          </cell>
          <cell r="IV48">
            <v>62.3332829</v>
          </cell>
          <cell r="IW48" t="str">
            <v>nd</v>
          </cell>
          <cell r="IX48">
            <v>0</v>
          </cell>
          <cell r="IY48">
            <v>0</v>
          </cell>
          <cell r="IZ48">
            <v>0</v>
          </cell>
          <cell r="JA48">
            <v>0.77308500000000002</v>
          </cell>
          <cell r="JB48">
            <v>26.988611899999999</v>
          </cell>
          <cell r="JC48" t="str">
            <v>nd</v>
          </cell>
          <cell r="JD48">
            <v>0</v>
          </cell>
          <cell r="JE48">
            <v>0</v>
          </cell>
          <cell r="JF48">
            <v>0</v>
          </cell>
          <cell r="JG48">
            <v>0</v>
          </cell>
          <cell r="JH48">
            <v>0</v>
          </cell>
          <cell r="JI48">
            <v>0</v>
          </cell>
          <cell r="JJ48">
            <v>0</v>
          </cell>
          <cell r="JK48">
            <v>0</v>
          </cell>
          <cell r="JL48">
            <v>0</v>
          </cell>
          <cell r="JM48">
            <v>0</v>
          </cell>
          <cell r="JN48">
            <v>0</v>
          </cell>
          <cell r="JO48">
            <v>0</v>
          </cell>
          <cell r="JP48">
            <v>0</v>
          </cell>
          <cell r="JQ48">
            <v>0</v>
          </cell>
          <cell r="JR48">
            <v>0</v>
          </cell>
          <cell r="JS48">
            <v>0</v>
          </cell>
          <cell r="JT48">
            <v>0</v>
          </cell>
          <cell r="JU48">
            <v>0</v>
          </cell>
          <cell r="JV48">
            <v>0</v>
          </cell>
          <cell r="JW48">
            <v>0</v>
          </cell>
          <cell r="JX48">
            <v>0</v>
          </cell>
          <cell r="JY48">
            <v>0</v>
          </cell>
          <cell r="JZ48">
            <v>67.835064500000001</v>
          </cell>
          <cell r="KA48">
            <v>0</v>
          </cell>
          <cell r="KB48">
            <v>0</v>
          </cell>
          <cell r="KC48">
            <v>0</v>
          </cell>
          <cell r="KD48" t="str">
            <v>nd</v>
          </cell>
          <cell r="KE48">
            <v>0</v>
          </cell>
          <cell r="KF48">
            <v>32.0824955</v>
          </cell>
          <cell r="KG48">
            <v>0</v>
          </cell>
          <cell r="KH48">
            <v>0</v>
          </cell>
          <cell r="KI48">
            <v>0</v>
          </cell>
          <cell r="KJ48">
            <v>0</v>
          </cell>
          <cell r="KK48">
            <v>0</v>
          </cell>
          <cell r="KL48">
            <v>0</v>
          </cell>
          <cell r="KM48">
            <v>64</v>
          </cell>
          <cell r="KN48">
            <v>25.4</v>
          </cell>
          <cell r="KO48">
            <v>0.6</v>
          </cell>
          <cell r="KP48">
            <v>4.5999999999999996</v>
          </cell>
          <cell r="KQ48">
            <v>5.4</v>
          </cell>
          <cell r="KR48">
            <v>0</v>
          </cell>
          <cell r="KS48">
            <v>63.9</v>
          </cell>
          <cell r="KT48">
            <v>25</v>
          </cell>
          <cell r="KU48">
            <v>0.6</v>
          </cell>
          <cell r="KV48">
            <v>4.5999999999999996</v>
          </cell>
          <cell r="KW48">
            <v>5.8999999999999995</v>
          </cell>
          <cell r="KX48">
            <v>0</v>
          </cell>
          <cell r="KY48"/>
          <cell r="KZ48"/>
          <cell r="LA48"/>
          <cell r="LB48"/>
          <cell r="LC48"/>
          <cell r="LD48"/>
          <cell r="LE48"/>
          <cell r="LF48"/>
          <cell r="LG48"/>
          <cell r="LH48"/>
          <cell r="LI48"/>
          <cell r="LJ48"/>
          <cell r="LK48"/>
          <cell r="LL48"/>
          <cell r="LM48"/>
          <cell r="LN48"/>
          <cell r="LO48"/>
        </row>
        <row r="49">
          <cell r="A49" t="str">
            <v>EnsFZ</v>
          </cell>
          <cell r="B49" t="str">
            <v>49</v>
          </cell>
          <cell r="C49" t="str">
            <v>NAF 17</v>
          </cell>
          <cell r="D49" t="str">
            <v>FZ</v>
          </cell>
          <cell r="E49" t="str">
            <v/>
          </cell>
          <cell r="F49">
            <v>0.4</v>
          </cell>
          <cell r="G49">
            <v>6</v>
          </cell>
          <cell r="H49">
            <v>27.700000000000003</v>
          </cell>
          <cell r="I49">
            <v>49.9</v>
          </cell>
          <cell r="J49">
            <v>16</v>
          </cell>
          <cell r="K49">
            <v>54.900000000000006</v>
          </cell>
          <cell r="L49">
            <v>16.3</v>
          </cell>
          <cell r="M49">
            <v>19.3</v>
          </cell>
          <cell r="N49">
            <v>9.5</v>
          </cell>
          <cell r="O49">
            <v>25.8</v>
          </cell>
          <cell r="P49">
            <v>27.1</v>
          </cell>
          <cell r="Q49">
            <v>23.200000000000003</v>
          </cell>
          <cell r="R49">
            <v>8.2000000000000011</v>
          </cell>
          <cell r="S49">
            <v>14.899999999999999</v>
          </cell>
          <cell r="T49">
            <v>24</v>
          </cell>
          <cell r="U49">
            <v>5.7</v>
          </cell>
          <cell r="V49">
            <v>22</v>
          </cell>
          <cell r="W49">
            <v>9.8000000000000007</v>
          </cell>
          <cell r="X49">
            <v>84.399999999999991</v>
          </cell>
          <cell r="Y49">
            <v>5.8000000000000007</v>
          </cell>
          <cell r="Z49">
            <v>9.5</v>
          </cell>
          <cell r="AA49">
            <v>49.5</v>
          </cell>
          <cell r="AB49">
            <v>5.3</v>
          </cell>
          <cell r="AC49">
            <v>49.5</v>
          </cell>
          <cell r="AD49">
            <v>35.799999999999997</v>
          </cell>
          <cell r="AE49">
            <v>52</v>
          </cell>
          <cell r="AF49">
            <v>48</v>
          </cell>
          <cell r="AG49">
            <v>76.2</v>
          </cell>
          <cell r="AH49">
            <v>23.799999999999997</v>
          </cell>
          <cell r="AI49">
            <v>27.3</v>
          </cell>
          <cell r="AJ49">
            <v>6</v>
          </cell>
          <cell r="AK49">
            <v>6</v>
          </cell>
          <cell r="AL49">
            <v>48.199999999999996</v>
          </cell>
          <cell r="AM49">
            <v>12.6</v>
          </cell>
          <cell r="AN49">
            <v>1.7000000000000002</v>
          </cell>
          <cell r="AO49">
            <v>2.5</v>
          </cell>
          <cell r="AP49">
            <v>2.9000000000000004</v>
          </cell>
          <cell r="AQ49">
            <v>77.5</v>
          </cell>
          <cell r="AR49">
            <v>15.299999999999999</v>
          </cell>
          <cell r="AS49">
            <v>84.8</v>
          </cell>
          <cell r="AT49">
            <v>9.1</v>
          </cell>
          <cell r="AU49">
            <v>2.6</v>
          </cell>
          <cell r="AV49">
            <v>0.89999999999999991</v>
          </cell>
          <cell r="AW49">
            <v>1.0999999999999999</v>
          </cell>
          <cell r="AX49">
            <v>1.5</v>
          </cell>
          <cell r="AY49">
            <v>0.89999999999999991</v>
          </cell>
          <cell r="AZ49">
            <v>0.6</v>
          </cell>
          <cell r="BA49">
            <v>1.4000000000000001</v>
          </cell>
          <cell r="BB49">
            <v>8.5</v>
          </cell>
          <cell r="BC49">
            <v>33.200000000000003</v>
          </cell>
          <cell r="BD49">
            <v>55.400000000000006</v>
          </cell>
          <cell r="BE49">
            <v>0.6</v>
          </cell>
          <cell r="BF49" t="str">
            <v>nd</v>
          </cell>
          <cell r="BG49">
            <v>0.70000000000000007</v>
          </cell>
          <cell r="BH49">
            <v>3.5000000000000004</v>
          </cell>
          <cell r="BI49">
            <v>33.4</v>
          </cell>
          <cell r="BJ49">
            <v>61.8</v>
          </cell>
          <cell r="BK49" t="str">
            <v>nd</v>
          </cell>
          <cell r="BL49">
            <v>0</v>
          </cell>
          <cell r="BM49" t="str">
            <v>nd</v>
          </cell>
          <cell r="BN49">
            <v>3</v>
          </cell>
          <cell r="BO49">
            <v>66.7</v>
          </cell>
          <cell r="BP49">
            <v>29.9</v>
          </cell>
          <cell r="BQ49">
            <v>0</v>
          </cell>
          <cell r="BR49" t="str">
            <v>nd</v>
          </cell>
          <cell r="BS49" t="str">
            <v>nd</v>
          </cell>
          <cell r="BT49">
            <v>1.9</v>
          </cell>
          <cell r="BU49">
            <v>44.1</v>
          </cell>
          <cell r="BV49">
            <v>53.400000000000006</v>
          </cell>
          <cell r="BW49">
            <v>0</v>
          </cell>
          <cell r="BX49">
            <v>0</v>
          </cell>
          <cell r="BY49">
            <v>0</v>
          </cell>
          <cell r="BZ49" t="str">
            <v>nd</v>
          </cell>
          <cell r="CA49">
            <v>0.8</v>
          </cell>
          <cell r="CB49">
            <v>99</v>
          </cell>
          <cell r="CC49">
            <v>6.1</v>
          </cell>
          <cell r="CD49">
            <v>11.700000000000001</v>
          </cell>
          <cell r="CE49">
            <v>3.9</v>
          </cell>
          <cell r="CF49">
            <v>5.3</v>
          </cell>
          <cell r="CG49">
            <v>0.5</v>
          </cell>
          <cell r="CH49">
            <v>19.900000000000002</v>
          </cell>
          <cell r="CI49">
            <v>8.2000000000000011</v>
          </cell>
          <cell r="CJ49">
            <v>70.099999999999994</v>
          </cell>
          <cell r="CK49">
            <v>42.4</v>
          </cell>
          <cell r="CL49">
            <v>6.4</v>
          </cell>
          <cell r="CM49">
            <v>2.6</v>
          </cell>
          <cell r="CN49">
            <v>0.70000000000000007</v>
          </cell>
          <cell r="CO49">
            <v>56.399999999999991</v>
          </cell>
          <cell r="CP49">
            <v>7.1</v>
          </cell>
          <cell r="CQ49">
            <v>37.299999999999997</v>
          </cell>
          <cell r="CR49">
            <v>28.999999999999996</v>
          </cell>
          <cell r="CS49">
            <v>26.5</v>
          </cell>
          <cell r="CT49">
            <v>6.5</v>
          </cell>
          <cell r="CU49">
            <v>93.5</v>
          </cell>
          <cell r="CV49">
            <v>6.8000000000000007</v>
          </cell>
          <cell r="CW49">
            <v>93.2</v>
          </cell>
          <cell r="CX49">
            <v>10.100000000000001</v>
          </cell>
          <cell r="CY49">
            <v>26.900000000000002</v>
          </cell>
          <cell r="CZ49">
            <v>63</v>
          </cell>
          <cell r="DA49">
            <v>16.7</v>
          </cell>
          <cell r="DB49">
            <v>0</v>
          </cell>
          <cell r="DC49">
            <v>4.8</v>
          </cell>
          <cell r="DD49" t="str">
            <v>nd</v>
          </cell>
          <cell r="DE49">
            <v>81</v>
          </cell>
          <cell r="DF49">
            <v>19.8</v>
          </cell>
          <cell r="DG49">
            <v>15.4</v>
          </cell>
          <cell r="DH49">
            <v>16.7</v>
          </cell>
          <cell r="DI49">
            <v>11.799999999999999</v>
          </cell>
          <cell r="DJ49">
            <v>16.2</v>
          </cell>
          <cell r="DK49">
            <v>20.200000000000003</v>
          </cell>
          <cell r="DL49">
            <v>21.099999999999998</v>
          </cell>
          <cell r="DM49">
            <v>31.5</v>
          </cell>
          <cell r="DN49">
            <v>7.6</v>
          </cell>
          <cell r="DO49">
            <v>30.099999999999998</v>
          </cell>
          <cell r="DP49">
            <v>4</v>
          </cell>
          <cell r="DQ49">
            <v>0.89999999999999991</v>
          </cell>
          <cell r="DR49">
            <v>17</v>
          </cell>
          <cell r="DS49">
            <v>14.2</v>
          </cell>
          <cell r="DT49">
            <v>19.600000000000001</v>
          </cell>
          <cell r="DU49">
            <v>0</v>
          </cell>
          <cell r="DV49">
            <v>0</v>
          </cell>
          <cell r="DW49">
            <v>0</v>
          </cell>
          <cell r="DX49" t="str">
            <v>nd</v>
          </cell>
          <cell r="DY49" t="str">
            <v>nd</v>
          </cell>
          <cell r="DZ49">
            <v>4.8485500000000004</v>
          </cell>
          <cell r="EA49">
            <v>0.423703</v>
          </cell>
          <cell r="EB49">
            <v>0.502641</v>
          </cell>
          <cell r="EC49" t="str">
            <v>nd</v>
          </cell>
          <cell r="ED49">
            <v>0</v>
          </cell>
          <cell r="EE49">
            <v>0</v>
          </cell>
          <cell r="EF49">
            <v>19.850202599999999</v>
          </cell>
          <cell r="EG49">
            <v>5.4774799999999999</v>
          </cell>
          <cell r="EH49">
            <v>1.61449</v>
          </cell>
          <cell r="EI49">
            <v>0.22697199999999998</v>
          </cell>
          <cell r="EJ49">
            <v>0.28039599999999998</v>
          </cell>
          <cell r="EK49">
            <v>0.35886999999999997</v>
          </cell>
          <cell r="EL49">
            <v>45.213586300000003</v>
          </cell>
          <cell r="EM49">
            <v>2.73814</v>
          </cell>
          <cell r="EN49">
            <v>0.36548000000000003</v>
          </cell>
          <cell r="EO49">
            <v>0</v>
          </cell>
          <cell r="EP49">
            <v>0.73792399999999991</v>
          </cell>
          <cell r="EQ49">
            <v>0.50787499999999997</v>
          </cell>
          <cell r="ER49">
            <v>14.866851799999999</v>
          </cell>
          <cell r="ES49">
            <v>0.53017899999999996</v>
          </cell>
          <cell r="ET49" t="str">
            <v>nd</v>
          </cell>
          <cell r="EU49" t="str">
            <v>nd</v>
          </cell>
          <cell r="EV49" t="str">
            <v>nd</v>
          </cell>
          <cell r="EW49">
            <v>0.37393499999999996</v>
          </cell>
          <cell r="EX49">
            <v>0</v>
          </cell>
          <cell r="EY49">
            <v>0</v>
          </cell>
          <cell r="EZ49">
            <v>0</v>
          </cell>
          <cell r="FA49">
            <v>0</v>
          </cell>
          <cell r="FB49">
            <v>0.41032600000000002</v>
          </cell>
          <cell r="FC49">
            <v>0</v>
          </cell>
          <cell r="FD49" t="str">
            <v>nd</v>
          </cell>
          <cell r="FE49">
            <v>0.21987700000000002</v>
          </cell>
          <cell r="FF49">
            <v>0.61465900000000007</v>
          </cell>
          <cell r="FG49">
            <v>3.9216899999999999</v>
          </cell>
          <cell r="FH49">
            <v>1.1748099999999999</v>
          </cell>
          <cell r="FI49">
            <v>0.36014299999999999</v>
          </cell>
          <cell r="FJ49">
            <v>0.14553199999999999</v>
          </cell>
          <cell r="FK49">
            <v>0.83522000000000007</v>
          </cell>
          <cell r="FL49">
            <v>2.65001</v>
          </cell>
          <cell r="FM49">
            <v>12.373234099999999</v>
          </cell>
          <cell r="FN49">
            <v>11.5369657</v>
          </cell>
          <cell r="FO49">
            <v>0.49219199999999996</v>
          </cell>
          <cell r="FP49">
            <v>0</v>
          </cell>
          <cell r="FQ49">
            <v>0.28981899999999999</v>
          </cell>
          <cell r="FR49">
            <v>2.78199</v>
          </cell>
          <cell r="FS49">
            <v>11.1543998</v>
          </cell>
          <cell r="FT49">
            <v>34.9917224</v>
          </cell>
          <cell r="FU49">
            <v>0</v>
          </cell>
          <cell r="FV49">
            <v>0.38894300000000004</v>
          </cell>
          <cell r="FW49" t="str">
            <v>nd</v>
          </cell>
          <cell r="FX49">
            <v>2.4493299999999998</v>
          </cell>
          <cell r="FY49">
            <v>5.7510599999999998</v>
          </cell>
          <cell r="FZ49">
            <v>7.289514800000001</v>
          </cell>
          <cell r="GA49" t="str">
            <v>nd</v>
          </cell>
          <cell r="GB49">
            <v>0</v>
          </cell>
          <cell r="GC49">
            <v>0</v>
          </cell>
          <cell r="GD49">
            <v>0</v>
          </cell>
          <cell r="GE49" t="str">
            <v>nd</v>
          </cell>
          <cell r="GF49">
            <v>0</v>
          </cell>
          <cell r="GG49" t="str">
            <v>nd</v>
          </cell>
          <cell r="GH49" t="str">
            <v>nd</v>
          </cell>
          <cell r="GI49">
            <v>0</v>
          </cell>
          <cell r="GJ49">
            <v>4.4797799999999999</v>
          </cell>
          <cell r="GK49">
            <v>1.19207</v>
          </cell>
          <cell r="GL49" t="str">
            <v>nd</v>
          </cell>
          <cell r="GM49">
            <v>0</v>
          </cell>
          <cell r="GN49">
            <v>0.39592699999999997</v>
          </cell>
          <cell r="GO49">
            <v>2.0158200000000002</v>
          </cell>
          <cell r="GP49">
            <v>11.042914</v>
          </cell>
          <cell r="GQ49">
            <v>14.492694500000001</v>
          </cell>
          <cell r="GR49" t="str">
            <v>nd</v>
          </cell>
          <cell r="GS49">
            <v>0</v>
          </cell>
          <cell r="GT49">
            <v>0</v>
          </cell>
          <cell r="GU49">
            <v>0.95324999999999993</v>
          </cell>
          <cell r="GV49">
            <v>12.111295499999999</v>
          </cell>
          <cell r="GW49">
            <v>36.310549600000002</v>
          </cell>
          <cell r="GX49">
            <v>0</v>
          </cell>
          <cell r="GY49">
            <v>0</v>
          </cell>
          <cell r="GZ49">
            <v>0</v>
          </cell>
          <cell r="HA49">
            <v>0.52379699999999996</v>
          </cell>
          <cell r="HB49">
            <v>5.74925</v>
          </cell>
          <cell r="HC49">
            <v>9.6073971</v>
          </cell>
          <cell r="HD49">
            <v>0</v>
          </cell>
          <cell r="HE49" t="str">
            <v>nd</v>
          </cell>
          <cell r="HF49">
            <v>0</v>
          </cell>
          <cell r="HG49">
            <v>0</v>
          </cell>
          <cell r="HH49" t="str">
            <v>nd</v>
          </cell>
          <cell r="HI49">
            <v>0</v>
          </cell>
          <cell r="HJ49">
            <v>0</v>
          </cell>
          <cell r="HK49">
            <v>0</v>
          </cell>
          <cell r="HL49" t="str">
            <v>nd</v>
          </cell>
          <cell r="HM49">
            <v>4.7210200000000002</v>
          </cell>
          <cell r="HN49">
            <v>0.89005000000000001</v>
          </cell>
          <cell r="HO49" t="str">
            <v>nd</v>
          </cell>
          <cell r="HP49">
            <v>0</v>
          </cell>
          <cell r="HQ49">
            <v>0</v>
          </cell>
          <cell r="HR49">
            <v>0.97079000000000004</v>
          </cell>
          <cell r="HS49">
            <v>20.2722473</v>
          </cell>
          <cell r="HT49">
            <v>6.5682929000000003</v>
          </cell>
          <cell r="HU49">
            <v>0</v>
          </cell>
          <cell r="HV49">
            <v>0</v>
          </cell>
          <cell r="HW49">
            <v>0</v>
          </cell>
          <cell r="HX49">
            <v>1.34979</v>
          </cell>
          <cell r="HY49">
            <v>29.7066078</v>
          </cell>
          <cell r="HZ49">
            <v>18.521815400000001</v>
          </cell>
          <cell r="IA49">
            <v>0</v>
          </cell>
          <cell r="IB49">
            <v>0</v>
          </cell>
          <cell r="IC49" t="str">
            <v>nd</v>
          </cell>
          <cell r="ID49">
            <v>0.43800699999999998</v>
          </cell>
          <cell r="IE49">
            <v>11.8864538</v>
          </cell>
          <cell r="IF49">
            <v>3.6171300000000004</v>
          </cell>
          <cell r="IG49">
            <v>0</v>
          </cell>
          <cell r="IH49">
            <v>0</v>
          </cell>
          <cell r="II49">
            <v>0</v>
          </cell>
          <cell r="IJ49">
            <v>0</v>
          </cell>
          <cell r="IK49">
            <v>0.43866900000000003</v>
          </cell>
          <cell r="IL49">
            <v>0</v>
          </cell>
          <cell r="IM49">
            <v>0</v>
          </cell>
          <cell r="IN49" t="str">
            <v>nd</v>
          </cell>
          <cell r="IO49">
            <v>0.30413800000000002</v>
          </cell>
          <cell r="IP49">
            <v>3.9563599999999997</v>
          </cell>
          <cell r="IQ49">
            <v>1.38808</v>
          </cell>
          <cell r="IR49">
            <v>0</v>
          </cell>
          <cell r="IS49" t="str">
            <v>nd</v>
          </cell>
          <cell r="IT49">
            <v>0</v>
          </cell>
          <cell r="IU49">
            <v>0.65402899999999997</v>
          </cell>
          <cell r="IV49">
            <v>14.3526805</v>
          </cell>
          <cell r="IW49">
            <v>12.8442154</v>
          </cell>
          <cell r="IX49">
            <v>0</v>
          </cell>
          <cell r="IY49" t="str">
            <v>nd</v>
          </cell>
          <cell r="IZ49" t="str">
            <v>nd</v>
          </cell>
          <cell r="JA49">
            <v>0.81224999999999992</v>
          </cell>
          <cell r="JB49">
            <v>17.8954734</v>
          </cell>
          <cell r="JC49">
            <v>30.992655200000002</v>
          </cell>
          <cell r="JD49">
            <v>0</v>
          </cell>
          <cell r="JE49">
            <v>0</v>
          </cell>
          <cell r="JF49">
            <v>0</v>
          </cell>
          <cell r="JG49" t="str">
            <v>nd</v>
          </cell>
          <cell r="JH49">
            <v>7.7810384999999993</v>
          </cell>
          <cell r="JI49">
            <v>7.838779999999999</v>
          </cell>
          <cell r="JJ49">
            <v>0</v>
          </cell>
          <cell r="JK49">
            <v>0</v>
          </cell>
          <cell r="JL49">
            <v>0</v>
          </cell>
          <cell r="JM49">
            <v>0</v>
          </cell>
          <cell r="JN49">
            <v>0.40892000000000001</v>
          </cell>
          <cell r="JO49">
            <v>0</v>
          </cell>
          <cell r="JP49">
            <v>0</v>
          </cell>
          <cell r="JQ49">
            <v>0</v>
          </cell>
          <cell r="JR49">
            <v>0</v>
          </cell>
          <cell r="JS49" t="str">
            <v>nd</v>
          </cell>
          <cell r="JT49">
            <v>5.6255499999999996</v>
          </cell>
          <cell r="JU49">
            <v>0</v>
          </cell>
          <cell r="JV49">
            <v>0</v>
          </cell>
          <cell r="JW49">
            <v>0</v>
          </cell>
          <cell r="JX49" t="str">
            <v>nd</v>
          </cell>
          <cell r="JY49" t="str">
            <v>nd</v>
          </cell>
          <cell r="JZ49">
            <v>27.843770899999999</v>
          </cell>
          <cell r="KA49">
            <v>0</v>
          </cell>
          <cell r="KB49">
            <v>0</v>
          </cell>
          <cell r="KC49">
            <v>0</v>
          </cell>
          <cell r="KD49">
            <v>0</v>
          </cell>
          <cell r="KE49">
            <v>0.44984800000000003</v>
          </cell>
          <cell r="KF49">
            <v>49.407337299999995</v>
          </cell>
          <cell r="KG49">
            <v>0</v>
          </cell>
          <cell r="KH49">
            <v>0</v>
          </cell>
          <cell r="KI49">
            <v>0</v>
          </cell>
          <cell r="KJ49">
            <v>0</v>
          </cell>
          <cell r="KK49" t="str">
            <v>nd</v>
          </cell>
          <cell r="KL49">
            <v>15.7092604</v>
          </cell>
          <cell r="KM49">
            <v>84.3</v>
          </cell>
          <cell r="KN49">
            <v>4.7</v>
          </cell>
          <cell r="KO49">
            <v>3.5999999999999996</v>
          </cell>
          <cell r="KP49">
            <v>4.3999999999999995</v>
          </cell>
          <cell r="KQ49">
            <v>2.9000000000000004</v>
          </cell>
          <cell r="KR49">
            <v>0</v>
          </cell>
          <cell r="KS49">
            <v>83.399999999999991</v>
          </cell>
          <cell r="KT49">
            <v>5.2</v>
          </cell>
          <cell r="KU49">
            <v>3.6999999999999997</v>
          </cell>
          <cell r="KV49">
            <v>4.5999999999999996</v>
          </cell>
          <cell r="KW49">
            <v>3</v>
          </cell>
          <cell r="KX49">
            <v>0</v>
          </cell>
          <cell r="KY49"/>
          <cell r="KZ49"/>
          <cell r="LA49"/>
          <cell r="LB49"/>
          <cell r="LC49"/>
          <cell r="LD49"/>
          <cell r="LE49"/>
          <cell r="LF49"/>
          <cell r="LG49"/>
          <cell r="LH49"/>
          <cell r="LI49"/>
          <cell r="LJ49"/>
          <cell r="LK49"/>
          <cell r="LL49"/>
          <cell r="LM49"/>
          <cell r="LN49"/>
          <cell r="LO49"/>
        </row>
        <row r="50">
          <cell r="A50" t="str">
            <v>1FZ</v>
          </cell>
          <cell r="B50" t="str">
            <v>50</v>
          </cell>
          <cell r="C50" t="str">
            <v>NAF 17</v>
          </cell>
          <cell r="D50" t="str">
            <v>FZ</v>
          </cell>
          <cell r="E50" t="str">
            <v>1</v>
          </cell>
          <cell r="F50">
            <v>1.6</v>
          </cell>
          <cell r="G50">
            <v>4.8</v>
          </cell>
          <cell r="H50">
            <v>20.599999999999998</v>
          </cell>
          <cell r="I50">
            <v>56.499999999999993</v>
          </cell>
          <cell r="J50">
            <v>16.400000000000002</v>
          </cell>
          <cell r="K50">
            <v>46.400000000000006</v>
          </cell>
          <cell r="L50">
            <v>13.200000000000001</v>
          </cell>
          <cell r="M50">
            <v>35.799999999999997</v>
          </cell>
          <cell r="N50" t="str">
            <v>nd</v>
          </cell>
          <cell r="O50">
            <v>30.3</v>
          </cell>
          <cell r="P50">
            <v>23</v>
          </cell>
          <cell r="Q50">
            <v>34.9</v>
          </cell>
          <cell r="R50">
            <v>10.199999999999999</v>
          </cell>
          <cell r="S50">
            <v>15.1</v>
          </cell>
          <cell r="T50">
            <v>20.200000000000003</v>
          </cell>
          <cell r="U50">
            <v>6.4</v>
          </cell>
          <cell r="V50">
            <v>14.399999999999999</v>
          </cell>
          <cell r="W50">
            <v>6.8000000000000007</v>
          </cell>
          <cell r="X50">
            <v>88.5</v>
          </cell>
          <cell r="Y50">
            <v>4.7</v>
          </cell>
          <cell r="Z50" t="str">
            <v>nd</v>
          </cell>
          <cell r="AA50">
            <v>26.200000000000003</v>
          </cell>
          <cell r="AB50" t="str">
            <v>nd</v>
          </cell>
          <cell r="AC50">
            <v>21.5</v>
          </cell>
          <cell r="AD50">
            <v>50.8</v>
          </cell>
          <cell r="AE50">
            <v>22.5</v>
          </cell>
          <cell r="AF50">
            <v>77.5</v>
          </cell>
          <cell r="AG50">
            <v>52.5</v>
          </cell>
          <cell r="AH50">
            <v>47.5</v>
          </cell>
          <cell r="AI50">
            <v>28.9</v>
          </cell>
          <cell r="AJ50">
            <v>9.3000000000000007</v>
          </cell>
          <cell r="AK50">
            <v>8.4</v>
          </cell>
          <cell r="AL50">
            <v>45.300000000000004</v>
          </cell>
          <cell r="AM50">
            <v>8</v>
          </cell>
          <cell r="AN50">
            <v>0</v>
          </cell>
          <cell r="AO50" t="str">
            <v>nd</v>
          </cell>
          <cell r="AP50">
            <v>0</v>
          </cell>
          <cell r="AQ50">
            <v>92</v>
          </cell>
          <cell r="AR50">
            <v>5.8000000000000007</v>
          </cell>
          <cell r="AS50">
            <v>90.8</v>
          </cell>
          <cell r="AT50">
            <v>1.0999999999999999</v>
          </cell>
          <cell r="AU50">
            <v>3</v>
          </cell>
          <cell r="AV50">
            <v>1.7000000000000002</v>
          </cell>
          <cell r="AW50">
            <v>1.0999999999999999</v>
          </cell>
          <cell r="AX50">
            <v>2.2999999999999998</v>
          </cell>
          <cell r="AY50" t="str">
            <v>nd</v>
          </cell>
          <cell r="AZ50">
            <v>0</v>
          </cell>
          <cell r="BA50" t="str">
            <v>nd</v>
          </cell>
          <cell r="BB50">
            <v>2.1</v>
          </cell>
          <cell r="BC50">
            <v>13.900000000000002</v>
          </cell>
          <cell r="BD50">
            <v>83.1</v>
          </cell>
          <cell r="BE50">
            <v>1.5</v>
          </cell>
          <cell r="BF50" t="str">
            <v>nd</v>
          </cell>
          <cell r="BG50" t="str">
            <v>nd</v>
          </cell>
          <cell r="BH50">
            <v>1.5</v>
          </cell>
          <cell r="BI50">
            <v>11.3</v>
          </cell>
          <cell r="BJ50">
            <v>85</v>
          </cell>
          <cell r="BK50">
            <v>0</v>
          </cell>
          <cell r="BL50">
            <v>0</v>
          </cell>
          <cell r="BM50">
            <v>0</v>
          </cell>
          <cell r="BN50">
            <v>3.8</v>
          </cell>
          <cell r="BO50">
            <v>41.3</v>
          </cell>
          <cell r="BP50">
            <v>55.000000000000007</v>
          </cell>
          <cell r="BQ50">
            <v>0</v>
          </cell>
          <cell r="BR50" t="str">
            <v>nd</v>
          </cell>
          <cell r="BS50" t="str">
            <v>nd</v>
          </cell>
          <cell r="BT50" t="str">
            <v>nd</v>
          </cell>
          <cell r="BU50">
            <v>20.100000000000001</v>
          </cell>
          <cell r="BV50">
            <v>78.8</v>
          </cell>
          <cell r="BW50">
            <v>0</v>
          </cell>
          <cell r="BX50">
            <v>0</v>
          </cell>
          <cell r="BY50">
            <v>0</v>
          </cell>
          <cell r="BZ50">
            <v>0</v>
          </cell>
          <cell r="CA50" t="str">
            <v>nd</v>
          </cell>
          <cell r="CB50">
            <v>99.2</v>
          </cell>
          <cell r="CC50">
            <v>6.1</v>
          </cell>
          <cell r="CD50">
            <v>3.8</v>
          </cell>
          <cell r="CE50">
            <v>2.5</v>
          </cell>
          <cell r="CF50">
            <v>3.6999999999999997</v>
          </cell>
          <cell r="CG50">
            <v>0</v>
          </cell>
          <cell r="CH50">
            <v>17.5</v>
          </cell>
          <cell r="CI50">
            <v>7.6</v>
          </cell>
          <cell r="CJ50">
            <v>74.2</v>
          </cell>
          <cell r="CK50">
            <v>23.1</v>
          </cell>
          <cell r="CL50">
            <v>1.9</v>
          </cell>
          <cell r="CM50">
            <v>3</v>
          </cell>
          <cell r="CN50" t="str">
            <v>nd</v>
          </cell>
          <cell r="CO50">
            <v>75.099999999999994</v>
          </cell>
          <cell r="CP50">
            <v>12.8</v>
          </cell>
          <cell r="CQ50">
            <v>28.499999999999996</v>
          </cell>
          <cell r="CR50">
            <v>31.6</v>
          </cell>
          <cell r="CS50">
            <v>27.1</v>
          </cell>
          <cell r="CT50">
            <v>5.8000000000000007</v>
          </cell>
          <cell r="CU50">
            <v>94.199999999999989</v>
          </cell>
          <cell r="CV50">
            <v>2.2999999999999998</v>
          </cell>
          <cell r="CW50">
            <v>97.7</v>
          </cell>
          <cell r="CX50">
            <v>8.9</v>
          </cell>
          <cell r="CY50">
            <v>24.4</v>
          </cell>
          <cell r="CZ50">
            <v>66.7</v>
          </cell>
          <cell r="DA50" t="str">
            <v>nd</v>
          </cell>
          <cell r="DB50">
            <v>0</v>
          </cell>
          <cell r="DC50" t="str">
            <v>nd</v>
          </cell>
          <cell r="DD50">
            <v>0</v>
          </cell>
          <cell r="DE50">
            <v>80.5</v>
          </cell>
          <cell r="DF50">
            <v>25.6</v>
          </cell>
          <cell r="DG50">
            <v>9.9</v>
          </cell>
          <cell r="DH50">
            <v>17.2</v>
          </cell>
          <cell r="DI50">
            <v>11.5</v>
          </cell>
          <cell r="DJ50">
            <v>12.1</v>
          </cell>
          <cell r="DK50">
            <v>23.599999999999998</v>
          </cell>
          <cell r="DL50">
            <v>31.900000000000002</v>
          </cell>
          <cell r="DM50">
            <v>25.4</v>
          </cell>
          <cell r="DN50">
            <v>5.8999999999999995</v>
          </cell>
          <cell r="DO50">
            <v>25.6</v>
          </cell>
          <cell r="DP50">
            <v>2.9000000000000004</v>
          </cell>
          <cell r="DQ50" t="str">
            <v>nd</v>
          </cell>
          <cell r="DR50">
            <v>28.299999999999997</v>
          </cell>
          <cell r="DS50">
            <v>5.2</v>
          </cell>
          <cell r="DT50">
            <v>12.8</v>
          </cell>
          <cell r="DU50">
            <v>0</v>
          </cell>
          <cell r="DV50">
            <v>0</v>
          </cell>
          <cell r="DW50">
            <v>0</v>
          </cell>
          <cell r="DX50" t="str">
            <v>nd</v>
          </cell>
          <cell r="DY50" t="str">
            <v>nd</v>
          </cell>
          <cell r="DZ50">
            <v>3.8054800000000002</v>
          </cell>
          <cell r="EA50">
            <v>0</v>
          </cell>
          <cell r="EB50">
            <v>0</v>
          </cell>
          <cell r="EC50" t="str">
            <v>nd</v>
          </cell>
          <cell r="ED50">
            <v>0</v>
          </cell>
          <cell r="EE50">
            <v>0</v>
          </cell>
          <cell r="EF50">
            <v>17.761609</v>
          </cell>
          <cell r="EG50" t="str">
            <v>nd</v>
          </cell>
          <cell r="EH50">
            <v>1.5645099999999998</v>
          </cell>
          <cell r="EI50">
            <v>0</v>
          </cell>
          <cell r="EJ50" t="str">
            <v>nd</v>
          </cell>
          <cell r="EK50" t="str">
            <v>nd</v>
          </cell>
          <cell r="EL50">
            <v>52.684623799999997</v>
          </cell>
          <cell r="EM50" t="str">
            <v>nd</v>
          </cell>
          <cell r="EN50">
            <v>1.47767</v>
          </cell>
          <cell r="EO50">
            <v>0</v>
          </cell>
          <cell r="EP50" t="str">
            <v>nd</v>
          </cell>
          <cell r="EQ50" t="str">
            <v>nd</v>
          </cell>
          <cell r="ER50">
            <v>16.564505199999999</v>
          </cell>
          <cell r="ES50">
            <v>0</v>
          </cell>
          <cell r="ET50">
            <v>0</v>
          </cell>
          <cell r="EU50" t="str">
            <v>nd</v>
          </cell>
          <cell r="EV50">
            <v>0</v>
          </cell>
          <cell r="EW50">
            <v>0</v>
          </cell>
          <cell r="EX50">
            <v>0</v>
          </cell>
          <cell r="EY50">
            <v>0</v>
          </cell>
          <cell r="EZ50">
            <v>0</v>
          </cell>
          <cell r="FA50">
            <v>0</v>
          </cell>
          <cell r="FB50">
            <v>1.6589900000000002</v>
          </cell>
          <cell r="FC50">
            <v>0</v>
          </cell>
          <cell r="FD50">
            <v>0</v>
          </cell>
          <cell r="FE50">
            <v>0</v>
          </cell>
          <cell r="FF50">
            <v>0</v>
          </cell>
          <cell r="FG50">
            <v>1.0154300000000001</v>
          </cell>
          <cell r="FH50">
            <v>3.6795099999999996</v>
          </cell>
          <cell r="FI50">
            <v>0</v>
          </cell>
          <cell r="FJ50">
            <v>0</v>
          </cell>
          <cell r="FK50">
            <v>0</v>
          </cell>
          <cell r="FL50">
            <v>1.0207199999999998</v>
          </cell>
          <cell r="FM50">
            <v>6.0434900000000003</v>
          </cell>
          <cell r="FN50">
            <v>13.867466</v>
          </cell>
          <cell r="FO50">
            <v>0</v>
          </cell>
          <cell r="FP50">
            <v>0</v>
          </cell>
          <cell r="FQ50" t="str">
            <v>nd</v>
          </cell>
          <cell r="FR50" t="str">
            <v>nd</v>
          </cell>
          <cell r="FS50">
            <v>5.0283199999999999</v>
          </cell>
          <cell r="FT50">
            <v>50.966099700000001</v>
          </cell>
          <cell r="FU50">
            <v>0</v>
          </cell>
          <cell r="FV50">
            <v>0</v>
          </cell>
          <cell r="FW50">
            <v>0</v>
          </cell>
          <cell r="FX50">
            <v>0</v>
          </cell>
          <cell r="FY50">
            <v>1.8622300000000001</v>
          </cell>
          <cell r="FZ50">
            <v>13.2142391</v>
          </cell>
          <cell r="GA50" t="str">
            <v>nd</v>
          </cell>
          <cell r="GB50">
            <v>0</v>
          </cell>
          <cell r="GC50">
            <v>0</v>
          </cell>
          <cell r="GD50">
            <v>0</v>
          </cell>
          <cell r="GE50" t="str">
            <v>nd</v>
          </cell>
          <cell r="GF50">
            <v>0</v>
          </cell>
          <cell r="GG50" t="str">
            <v>nd</v>
          </cell>
          <cell r="GH50">
            <v>0</v>
          </cell>
          <cell r="GI50">
            <v>0</v>
          </cell>
          <cell r="GJ50">
            <v>1.18797</v>
          </cell>
          <cell r="GK50">
            <v>3.5074000000000001</v>
          </cell>
          <cell r="GL50">
            <v>0</v>
          </cell>
          <cell r="GM50">
            <v>0</v>
          </cell>
          <cell r="GN50" t="str">
            <v>nd</v>
          </cell>
          <cell r="GO50" t="str">
            <v>nd</v>
          </cell>
          <cell r="GP50">
            <v>3.60501</v>
          </cell>
          <cell r="GQ50">
            <v>15.560047099999998</v>
          </cell>
          <cell r="GR50" t="str">
            <v>nd</v>
          </cell>
          <cell r="GS50">
            <v>0</v>
          </cell>
          <cell r="GT50">
            <v>0</v>
          </cell>
          <cell r="GU50">
            <v>1.2954600000000001</v>
          </cell>
          <cell r="GV50">
            <v>4.8068900000000001</v>
          </cell>
          <cell r="GW50">
            <v>51.585777099999994</v>
          </cell>
          <cell r="GX50">
            <v>0</v>
          </cell>
          <cell r="GY50">
            <v>0</v>
          </cell>
          <cell r="GZ50">
            <v>0</v>
          </cell>
          <cell r="HA50">
            <v>0</v>
          </cell>
          <cell r="HB50">
            <v>1.6591200000000002</v>
          </cell>
          <cell r="HC50">
            <v>13.6140439</v>
          </cell>
          <cell r="HD50">
            <v>0</v>
          </cell>
          <cell r="HE50" t="str">
            <v>nd</v>
          </cell>
          <cell r="HF50">
            <v>0</v>
          </cell>
          <cell r="HG50">
            <v>0</v>
          </cell>
          <cell r="HH50" t="str">
            <v>nd</v>
          </cell>
          <cell r="HI50">
            <v>0</v>
          </cell>
          <cell r="HJ50">
            <v>0</v>
          </cell>
          <cell r="HK50">
            <v>0</v>
          </cell>
          <cell r="HL50">
            <v>0</v>
          </cell>
          <cell r="HM50">
            <v>1.8925799999999999</v>
          </cell>
          <cell r="HN50">
            <v>2.8602099999999999</v>
          </cell>
          <cell r="HO50">
            <v>0</v>
          </cell>
          <cell r="HP50">
            <v>0</v>
          </cell>
          <cell r="HQ50">
            <v>0</v>
          </cell>
          <cell r="HR50" t="str">
            <v>nd</v>
          </cell>
          <cell r="HS50">
            <v>10.377656399999999</v>
          </cell>
          <cell r="HT50">
            <v>9.3677492999999998</v>
          </cell>
          <cell r="HU50">
            <v>0</v>
          </cell>
          <cell r="HV50">
            <v>0</v>
          </cell>
          <cell r="HW50">
            <v>0</v>
          </cell>
          <cell r="HX50">
            <v>3.0832899999999999</v>
          </cell>
          <cell r="HY50">
            <v>19.428706200000001</v>
          </cell>
          <cell r="HZ50">
            <v>35.708428099999999</v>
          </cell>
          <cell r="IA50">
            <v>0</v>
          </cell>
          <cell r="IB50">
            <v>0</v>
          </cell>
          <cell r="IC50">
            <v>0</v>
          </cell>
          <cell r="ID50">
            <v>0</v>
          </cell>
          <cell r="IE50">
            <v>9.1245224999999994</v>
          </cell>
          <cell r="IF50">
            <v>5.8135899999999996</v>
          </cell>
          <cell r="IG50">
            <v>0</v>
          </cell>
          <cell r="IH50">
            <v>0</v>
          </cell>
          <cell r="II50">
            <v>0</v>
          </cell>
          <cell r="IJ50">
            <v>0</v>
          </cell>
          <cell r="IK50">
            <v>1.7641899999999999</v>
          </cell>
          <cell r="IL50">
            <v>0</v>
          </cell>
          <cell r="IM50">
            <v>0</v>
          </cell>
          <cell r="IN50">
            <v>0</v>
          </cell>
          <cell r="IO50">
            <v>0</v>
          </cell>
          <cell r="IP50" t="str">
            <v>nd</v>
          </cell>
          <cell r="IQ50">
            <v>3.7101899999999999</v>
          </cell>
          <cell r="IR50">
            <v>0</v>
          </cell>
          <cell r="IS50">
            <v>0</v>
          </cell>
          <cell r="IT50">
            <v>0</v>
          </cell>
          <cell r="IU50">
            <v>0</v>
          </cell>
          <cell r="IV50">
            <v>3.3336200000000002</v>
          </cell>
          <cell r="IW50">
            <v>16.330349899999998</v>
          </cell>
          <cell r="IX50">
            <v>0</v>
          </cell>
          <cell r="IY50" t="str">
            <v>nd</v>
          </cell>
          <cell r="IZ50" t="str">
            <v>nd</v>
          </cell>
          <cell r="JA50" t="str">
            <v>nd</v>
          </cell>
          <cell r="JB50">
            <v>11.5331393</v>
          </cell>
          <cell r="JC50">
            <v>45.6780288</v>
          </cell>
          <cell r="JD50">
            <v>0</v>
          </cell>
          <cell r="JE50">
            <v>0</v>
          </cell>
          <cell r="JF50">
            <v>0</v>
          </cell>
          <cell r="JG50">
            <v>0</v>
          </cell>
          <cell r="JH50">
            <v>3.8591000000000002</v>
          </cell>
          <cell r="JI50">
            <v>11.600892999999999</v>
          </cell>
          <cell r="JJ50">
            <v>0</v>
          </cell>
          <cell r="JK50">
            <v>0</v>
          </cell>
          <cell r="JL50">
            <v>0</v>
          </cell>
          <cell r="JM50">
            <v>0</v>
          </cell>
          <cell r="JN50">
            <v>1.6445499999999997</v>
          </cell>
          <cell r="JO50">
            <v>0</v>
          </cell>
          <cell r="JP50">
            <v>0</v>
          </cell>
          <cell r="JQ50">
            <v>0</v>
          </cell>
          <cell r="JR50">
            <v>0</v>
          </cell>
          <cell r="JS50">
            <v>0</v>
          </cell>
          <cell r="JT50">
            <v>4.17279</v>
          </cell>
          <cell r="JU50">
            <v>0</v>
          </cell>
          <cell r="JV50">
            <v>0</v>
          </cell>
          <cell r="JW50">
            <v>0</v>
          </cell>
          <cell r="JX50">
            <v>0</v>
          </cell>
          <cell r="JY50">
            <v>0</v>
          </cell>
          <cell r="JZ50">
            <v>19.777548899999999</v>
          </cell>
          <cell r="KA50">
            <v>0</v>
          </cell>
          <cell r="KB50">
            <v>0</v>
          </cell>
          <cell r="KC50">
            <v>0</v>
          </cell>
          <cell r="KD50">
            <v>0</v>
          </cell>
          <cell r="KE50" t="str">
            <v>nd</v>
          </cell>
          <cell r="KF50">
            <v>58.201951999999999</v>
          </cell>
          <cell r="KG50">
            <v>0</v>
          </cell>
          <cell r="KH50">
            <v>0</v>
          </cell>
          <cell r="KI50">
            <v>0</v>
          </cell>
          <cell r="KJ50">
            <v>0</v>
          </cell>
          <cell r="KK50">
            <v>0</v>
          </cell>
          <cell r="KL50">
            <v>15.402012300000001</v>
          </cell>
          <cell r="KM50">
            <v>90.100000000000009</v>
          </cell>
          <cell r="KN50">
            <v>1.7000000000000002</v>
          </cell>
          <cell r="KO50">
            <v>2.7</v>
          </cell>
          <cell r="KP50">
            <v>3.9</v>
          </cell>
          <cell r="KQ50">
            <v>1.5</v>
          </cell>
          <cell r="KR50">
            <v>0</v>
          </cell>
          <cell r="KS50">
            <v>89.600000000000009</v>
          </cell>
          <cell r="KT50">
            <v>1.9</v>
          </cell>
          <cell r="KU50">
            <v>2.8000000000000003</v>
          </cell>
          <cell r="KV50">
            <v>4.2</v>
          </cell>
          <cell r="KW50">
            <v>1.5</v>
          </cell>
          <cell r="KX50">
            <v>0</v>
          </cell>
          <cell r="KY50"/>
          <cell r="KZ50"/>
          <cell r="LA50"/>
          <cell r="LB50"/>
          <cell r="LC50"/>
          <cell r="LD50"/>
          <cell r="LE50"/>
          <cell r="LF50"/>
          <cell r="LG50"/>
          <cell r="LH50"/>
          <cell r="LI50"/>
          <cell r="LJ50"/>
          <cell r="LK50"/>
          <cell r="LL50"/>
          <cell r="LM50"/>
          <cell r="LN50"/>
          <cell r="LO50"/>
        </row>
        <row r="51">
          <cell r="A51" t="str">
            <v>2FZ</v>
          </cell>
          <cell r="B51" t="str">
            <v>51</v>
          </cell>
          <cell r="C51" t="str">
            <v>NAF 17</v>
          </cell>
          <cell r="D51" t="str">
            <v>FZ</v>
          </cell>
          <cell r="E51" t="str">
            <v>2</v>
          </cell>
          <cell r="F51">
            <v>0</v>
          </cell>
          <cell r="G51">
            <v>1.9</v>
          </cell>
          <cell r="H51">
            <v>23.799999999999997</v>
          </cell>
          <cell r="I51">
            <v>60.4</v>
          </cell>
          <cell r="J51">
            <v>13.900000000000002</v>
          </cell>
          <cell r="K51">
            <v>46</v>
          </cell>
          <cell r="L51">
            <v>27.6</v>
          </cell>
          <cell r="M51">
            <v>20</v>
          </cell>
          <cell r="N51">
            <v>6.4</v>
          </cell>
          <cell r="O51">
            <v>18.600000000000001</v>
          </cell>
          <cell r="P51">
            <v>25.7</v>
          </cell>
          <cell r="Q51">
            <v>23.1</v>
          </cell>
          <cell r="R51">
            <v>6.6000000000000005</v>
          </cell>
          <cell r="S51">
            <v>17.100000000000001</v>
          </cell>
          <cell r="T51">
            <v>22</v>
          </cell>
          <cell r="U51">
            <v>7.0000000000000009</v>
          </cell>
          <cell r="V51">
            <v>26</v>
          </cell>
          <cell r="W51">
            <v>5.2</v>
          </cell>
          <cell r="X51">
            <v>84.8</v>
          </cell>
          <cell r="Y51">
            <v>10</v>
          </cell>
          <cell r="Z51" t="str">
            <v>nd</v>
          </cell>
          <cell r="AA51">
            <v>38.5</v>
          </cell>
          <cell r="AB51" t="str">
            <v>nd</v>
          </cell>
          <cell r="AC51">
            <v>30.8</v>
          </cell>
          <cell r="AD51" t="str">
            <v>nd</v>
          </cell>
          <cell r="AE51">
            <v>40</v>
          </cell>
          <cell r="AF51">
            <v>60</v>
          </cell>
          <cell r="AG51">
            <v>67.900000000000006</v>
          </cell>
          <cell r="AH51">
            <v>32.1</v>
          </cell>
          <cell r="AI51">
            <v>17.299999999999997</v>
          </cell>
          <cell r="AJ51">
            <v>7.0000000000000009</v>
          </cell>
          <cell r="AK51">
            <v>7.3</v>
          </cell>
          <cell r="AL51">
            <v>57.099999999999994</v>
          </cell>
          <cell r="AM51">
            <v>11.3</v>
          </cell>
          <cell r="AN51">
            <v>0</v>
          </cell>
          <cell r="AO51" t="str">
            <v>nd</v>
          </cell>
          <cell r="AP51" t="str">
            <v>nd</v>
          </cell>
          <cell r="AQ51">
            <v>94.399999999999991</v>
          </cell>
          <cell r="AR51" t="str">
            <v>nd</v>
          </cell>
          <cell r="AS51">
            <v>87</v>
          </cell>
          <cell r="AT51">
            <v>9.9</v>
          </cell>
          <cell r="AU51">
            <v>2.1</v>
          </cell>
          <cell r="AV51">
            <v>0</v>
          </cell>
          <cell r="AW51">
            <v>0</v>
          </cell>
          <cell r="AX51" t="str">
            <v>nd</v>
          </cell>
          <cell r="AY51" t="str">
            <v>nd</v>
          </cell>
          <cell r="AZ51" t="str">
            <v>nd</v>
          </cell>
          <cell r="BA51" t="str">
            <v>nd</v>
          </cell>
          <cell r="BB51">
            <v>2.6</v>
          </cell>
          <cell r="BC51">
            <v>14.499999999999998</v>
          </cell>
          <cell r="BD51">
            <v>81</v>
          </cell>
          <cell r="BE51">
            <v>0</v>
          </cell>
          <cell r="BF51">
            <v>0</v>
          </cell>
          <cell r="BG51">
            <v>1.6</v>
          </cell>
          <cell r="BH51">
            <v>6.5</v>
          </cell>
          <cell r="BI51">
            <v>22.8</v>
          </cell>
          <cell r="BJ51">
            <v>69.099999999999994</v>
          </cell>
          <cell r="BK51">
            <v>0</v>
          </cell>
          <cell r="BL51">
            <v>0</v>
          </cell>
          <cell r="BM51" t="str">
            <v>nd</v>
          </cell>
          <cell r="BN51" t="str">
            <v>nd</v>
          </cell>
          <cell r="BO51">
            <v>58.599999999999994</v>
          </cell>
          <cell r="BP51">
            <v>39.800000000000004</v>
          </cell>
          <cell r="BQ51">
            <v>0</v>
          </cell>
          <cell r="BR51">
            <v>0</v>
          </cell>
          <cell r="BS51">
            <v>0</v>
          </cell>
          <cell r="BT51">
            <v>2.7</v>
          </cell>
          <cell r="BU51">
            <v>24.3</v>
          </cell>
          <cell r="BV51">
            <v>73</v>
          </cell>
          <cell r="BW51">
            <v>0</v>
          </cell>
          <cell r="BX51">
            <v>0</v>
          </cell>
          <cell r="BY51">
            <v>0</v>
          </cell>
          <cell r="BZ51">
            <v>0</v>
          </cell>
          <cell r="CA51">
            <v>0</v>
          </cell>
          <cell r="CB51">
            <v>100</v>
          </cell>
          <cell r="CC51">
            <v>6.3</v>
          </cell>
          <cell r="CD51">
            <v>12.3</v>
          </cell>
          <cell r="CE51" t="str">
            <v>nd</v>
          </cell>
          <cell r="CF51">
            <v>3.6999999999999997</v>
          </cell>
          <cell r="CG51">
            <v>0</v>
          </cell>
          <cell r="CH51">
            <v>21.099999999999998</v>
          </cell>
          <cell r="CI51">
            <v>8.6</v>
          </cell>
          <cell r="CJ51">
            <v>68</v>
          </cell>
          <cell r="CK51">
            <v>42.8</v>
          </cell>
          <cell r="CL51">
            <v>3.1</v>
          </cell>
          <cell r="CM51">
            <v>2.2999999999999998</v>
          </cell>
          <cell r="CN51" t="str">
            <v>nd</v>
          </cell>
          <cell r="CO51">
            <v>58.599999999999994</v>
          </cell>
          <cell r="CP51">
            <v>9.5</v>
          </cell>
          <cell r="CQ51">
            <v>30.4</v>
          </cell>
          <cell r="CR51">
            <v>30.9</v>
          </cell>
          <cell r="CS51">
            <v>29.2</v>
          </cell>
          <cell r="CT51">
            <v>6.1</v>
          </cell>
          <cell r="CU51">
            <v>93.899999999999991</v>
          </cell>
          <cell r="CV51">
            <v>6.8000000000000007</v>
          </cell>
          <cell r="CW51">
            <v>93.2</v>
          </cell>
          <cell r="CX51">
            <v>8.7999999999999989</v>
          </cell>
          <cell r="CY51">
            <v>21</v>
          </cell>
          <cell r="CZ51">
            <v>70.199999999999989</v>
          </cell>
          <cell r="DA51" t="str">
            <v>nd</v>
          </cell>
          <cell r="DB51">
            <v>0</v>
          </cell>
          <cell r="DC51" t="str">
            <v>nd</v>
          </cell>
          <cell r="DD51">
            <v>0</v>
          </cell>
          <cell r="DE51">
            <v>80.5</v>
          </cell>
          <cell r="DF51">
            <v>24.8</v>
          </cell>
          <cell r="DG51">
            <v>12.8</v>
          </cell>
          <cell r="DH51">
            <v>18.5</v>
          </cell>
          <cell r="DI51">
            <v>11.3</v>
          </cell>
          <cell r="DJ51">
            <v>13</v>
          </cell>
          <cell r="DK51">
            <v>19.7</v>
          </cell>
          <cell r="DL51">
            <v>21.5</v>
          </cell>
          <cell r="DM51">
            <v>31.1</v>
          </cell>
          <cell r="DN51">
            <v>10.199999999999999</v>
          </cell>
          <cell r="DO51">
            <v>29.599999999999998</v>
          </cell>
          <cell r="DP51">
            <v>2.5</v>
          </cell>
          <cell r="DQ51">
            <v>0</v>
          </cell>
          <cell r="DR51">
            <v>14.099999999999998</v>
          </cell>
          <cell r="DS51">
            <v>6.7</v>
          </cell>
          <cell r="DT51">
            <v>18.5</v>
          </cell>
          <cell r="DU51">
            <v>0</v>
          </cell>
          <cell r="DV51">
            <v>0</v>
          </cell>
          <cell r="DW51">
            <v>0</v>
          </cell>
          <cell r="DX51">
            <v>0</v>
          </cell>
          <cell r="DY51">
            <v>0</v>
          </cell>
          <cell r="DZ51" t="str">
            <v>nd</v>
          </cell>
          <cell r="EA51">
            <v>0</v>
          </cell>
          <cell r="EB51" t="str">
            <v>nd</v>
          </cell>
          <cell r="EC51">
            <v>0</v>
          </cell>
          <cell r="ED51">
            <v>0</v>
          </cell>
          <cell r="EE51">
            <v>0</v>
          </cell>
          <cell r="EF51">
            <v>16.901288699999998</v>
          </cell>
          <cell r="EG51">
            <v>5.9148399999999999</v>
          </cell>
          <cell r="EH51" t="str">
            <v>nd</v>
          </cell>
          <cell r="EI51">
            <v>0</v>
          </cell>
          <cell r="EJ51">
            <v>0</v>
          </cell>
          <cell r="EK51" t="str">
            <v>nd</v>
          </cell>
          <cell r="EL51">
            <v>55.185656400000006</v>
          </cell>
          <cell r="EM51">
            <v>3.7138100000000001</v>
          </cell>
          <cell r="EN51">
            <v>0</v>
          </cell>
          <cell r="EO51">
            <v>0</v>
          </cell>
          <cell r="EP51">
            <v>0</v>
          </cell>
          <cell r="EQ51" t="str">
            <v>nd</v>
          </cell>
          <cell r="ER51">
            <v>13.9748584</v>
          </cell>
          <cell r="ES51" t="str">
            <v>nd</v>
          </cell>
          <cell r="ET51">
            <v>0</v>
          </cell>
          <cell r="EU51">
            <v>0</v>
          </cell>
          <cell r="EV51">
            <v>0</v>
          </cell>
          <cell r="EW51">
            <v>0</v>
          </cell>
          <cell r="EX51">
            <v>0</v>
          </cell>
          <cell r="EY51">
            <v>0</v>
          </cell>
          <cell r="EZ51">
            <v>0</v>
          </cell>
          <cell r="FA51">
            <v>0</v>
          </cell>
          <cell r="FB51">
            <v>0</v>
          </cell>
          <cell r="FC51">
            <v>0</v>
          </cell>
          <cell r="FD51">
            <v>0</v>
          </cell>
          <cell r="FE51" t="str">
            <v>nd</v>
          </cell>
          <cell r="FF51">
            <v>0</v>
          </cell>
          <cell r="FG51" t="str">
            <v>nd</v>
          </cell>
          <cell r="FH51" t="str">
            <v>nd</v>
          </cell>
          <cell r="FI51" t="str">
            <v>nd</v>
          </cell>
          <cell r="FJ51">
            <v>0</v>
          </cell>
          <cell r="FK51" t="str">
            <v>nd</v>
          </cell>
          <cell r="FL51">
            <v>1.4649000000000001</v>
          </cell>
          <cell r="FM51">
            <v>3.6852299999999998</v>
          </cell>
          <cell r="FN51">
            <v>18.774898100000001</v>
          </cell>
          <cell r="FO51">
            <v>0</v>
          </cell>
          <cell r="FP51">
            <v>0</v>
          </cell>
          <cell r="FQ51">
            <v>0</v>
          </cell>
          <cell r="FR51" t="str">
            <v>nd</v>
          </cell>
          <cell r="FS51">
            <v>4.7465899999999994</v>
          </cell>
          <cell r="FT51">
            <v>52.874174100000005</v>
          </cell>
          <cell r="FU51">
            <v>0</v>
          </cell>
          <cell r="FV51" t="str">
            <v>nd</v>
          </cell>
          <cell r="FW51">
            <v>0</v>
          </cell>
          <cell r="FX51">
            <v>0</v>
          </cell>
          <cell r="FY51">
            <v>5.6712999999999996</v>
          </cell>
          <cell r="FZ51">
            <v>8.2084294</v>
          </cell>
          <cell r="GA51">
            <v>0</v>
          </cell>
          <cell r="GB51">
            <v>0</v>
          </cell>
          <cell r="GC51">
            <v>0</v>
          </cell>
          <cell r="GD51">
            <v>0</v>
          </cell>
          <cell r="GE51">
            <v>0</v>
          </cell>
          <cell r="GF51">
            <v>0</v>
          </cell>
          <cell r="GG51">
            <v>0</v>
          </cell>
          <cell r="GH51" t="str">
            <v>nd</v>
          </cell>
          <cell r="GI51">
            <v>0</v>
          </cell>
          <cell r="GJ51" t="str">
            <v>nd</v>
          </cell>
          <cell r="GK51" t="str">
            <v>nd</v>
          </cell>
          <cell r="GL51">
            <v>0</v>
          </cell>
          <cell r="GM51">
            <v>0</v>
          </cell>
          <cell r="GN51" t="str">
            <v>nd</v>
          </cell>
          <cell r="GO51">
            <v>3.0245299999999999</v>
          </cell>
          <cell r="GP51">
            <v>6.5090059000000009</v>
          </cell>
          <cell r="GQ51">
            <v>15.278752300000001</v>
          </cell>
          <cell r="GR51">
            <v>0</v>
          </cell>
          <cell r="GS51">
            <v>0</v>
          </cell>
          <cell r="GT51">
            <v>0</v>
          </cell>
          <cell r="GU51" t="str">
            <v>nd</v>
          </cell>
          <cell r="GV51">
            <v>9.8228025999999993</v>
          </cell>
          <cell r="GW51">
            <v>46.606155999999999</v>
          </cell>
          <cell r="GX51">
            <v>0</v>
          </cell>
          <cell r="GY51">
            <v>0</v>
          </cell>
          <cell r="GZ51">
            <v>0</v>
          </cell>
          <cell r="HA51" t="str">
            <v>nd</v>
          </cell>
          <cell r="HB51">
            <v>5.61158</v>
          </cell>
          <cell r="HC51">
            <v>6.7220317000000005</v>
          </cell>
          <cell r="HD51">
            <v>0</v>
          </cell>
          <cell r="HE51">
            <v>0</v>
          </cell>
          <cell r="HF51">
            <v>0</v>
          </cell>
          <cell r="HG51">
            <v>0</v>
          </cell>
          <cell r="HH51">
            <v>0</v>
          </cell>
          <cell r="HI51">
            <v>0</v>
          </cell>
          <cell r="HJ51">
            <v>0</v>
          </cell>
          <cell r="HK51">
            <v>0</v>
          </cell>
          <cell r="HL51">
            <v>0</v>
          </cell>
          <cell r="HM51">
            <v>1.47245</v>
          </cell>
          <cell r="HN51" t="str">
            <v>nd</v>
          </cell>
          <cell r="HO51">
            <v>0</v>
          </cell>
          <cell r="HP51">
            <v>0</v>
          </cell>
          <cell r="HQ51">
            <v>0</v>
          </cell>
          <cell r="HR51" t="str">
            <v>nd</v>
          </cell>
          <cell r="HS51">
            <v>14.1240597</v>
          </cell>
          <cell r="HT51">
            <v>10.552559499999999</v>
          </cell>
          <cell r="HU51">
            <v>0</v>
          </cell>
          <cell r="HV51">
            <v>0</v>
          </cell>
          <cell r="HW51">
            <v>0</v>
          </cell>
          <cell r="HX51">
            <v>0</v>
          </cell>
          <cell r="HY51">
            <v>34.627768500000002</v>
          </cell>
          <cell r="HZ51">
            <v>23.8337082</v>
          </cell>
          <cell r="IA51">
            <v>0</v>
          </cell>
          <cell r="IB51">
            <v>0</v>
          </cell>
          <cell r="IC51" t="str">
            <v>nd</v>
          </cell>
          <cell r="ID51" t="str">
            <v>nd</v>
          </cell>
          <cell r="IE51">
            <v>8.2260234000000008</v>
          </cell>
          <cell r="IF51">
            <v>5.0760300000000003</v>
          </cell>
          <cell r="IG51">
            <v>0</v>
          </cell>
          <cell r="IH51">
            <v>0</v>
          </cell>
          <cell r="II51">
            <v>0</v>
          </cell>
          <cell r="IJ51">
            <v>0</v>
          </cell>
          <cell r="IK51">
            <v>0</v>
          </cell>
          <cell r="IL51">
            <v>0</v>
          </cell>
          <cell r="IM51">
            <v>0</v>
          </cell>
          <cell r="IN51">
            <v>0</v>
          </cell>
          <cell r="IO51">
            <v>0</v>
          </cell>
          <cell r="IP51" t="str">
            <v>nd</v>
          </cell>
          <cell r="IQ51" t="str">
            <v>nd</v>
          </cell>
          <cell r="IR51">
            <v>0</v>
          </cell>
          <cell r="IS51">
            <v>0</v>
          </cell>
          <cell r="IT51">
            <v>0</v>
          </cell>
          <cell r="IU51" t="str">
            <v>nd</v>
          </cell>
          <cell r="IV51">
            <v>7.4171258</v>
          </cell>
          <cell r="IW51">
            <v>17.655781300000001</v>
          </cell>
          <cell r="IX51">
            <v>0</v>
          </cell>
          <cell r="IY51">
            <v>0</v>
          </cell>
          <cell r="IZ51">
            <v>0</v>
          </cell>
          <cell r="JA51" t="str">
            <v>nd</v>
          </cell>
          <cell r="JB51">
            <v>11.9592478</v>
          </cell>
          <cell r="JC51">
            <v>45.372295600000001</v>
          </cell>
          <cell r="JD51">
            <v>0</v>
          </cell>
          <cell r="JE51">
            <v>0</v>
          </cell>
          <cell r="JF51">
            <v>0</v>
          </cell>
          <cell r="JG51">
            <v>0</v>
          </cell>
          <cell r="JH51">
            <v>3.8628299999999998</v>
          </cell>
          <cell r="JI51">
            <v>9.0416313000000006</v>
          </cell>
          <cell r="JJ51">
            <v>0</v>
          </cell>
          <cell r="JK51">
            <v>0</v>
          </cell>
          <cell r="JL51">
            <v>0</v>
          </cell>
          <cell r="JM51">
            <v>0</v>
          </cell>
          <cell r="JN51">
            <v>0</v>
          </cell>
          <cell r="JO51">
            <v>0</v>
          </cell>
          <cell r="JP51">
            <v>0</v>
          </cell>
          <cell r="JQ51">
            <v>0</v>
          </cell>
          <cell r="JR51">
            <v>0</v>
          </cell>
          <cell r="JS51">
            <v>0</v>
          </cell>
          <cell r="JT51">
            <v>2.0935600000000001</v>
          </cell>
          <cell r="JU51">
            <v>0</v>
          </cell>
          <cell r="JV51">
            <v>0</v>
          </cell>
          <cell r="JW51">
            <v>0</v>
          </cell>
          <cell r="JX51">
            <v>0</v>
          </cell>
          <cell r="JY51">
            <v>0</v>
          </cell>
          <cell r="JZ51">
            <v>25.993851200000002</v>
          </cell>
          <cell r="KA51">
            <v>0</v>
          </cell>
          <cell r="KB51">
            <v>0</v>
          </cell>
          <cell r="KC51">
            <v>0</v>
          </cell>
          <cell r="KD51">
            <v>0</v>
          </cell>
          <cell r="KE51">
            <v>0</v>
          </cell>
          <cell r="KF51">
            <v>58.937740500000004</v>
          </cell>
          <cell r="KG51">
            <v>0</v>
          </cell>
          <cell r="KH51">
            <v>0</v>
          </cell>
          <cell r="KI51">
            <v>0</v>
          </cell>
          <cell r="KJ51">
            <v>0</v>
          </cell>
          <cell r="KK51">
            <v>0</v>
          </cell>
          <cell r="KL51">
            <v>12.9748521</v>
          </cell>
          <cell r="KM51">
            <v>89.7</v>
          </cell>
          <cell r="KN51">
            <v>2.1</v>
          </cell>
          <cell r="KO51">
            <v>3.4000000000000004</v>
          </cell>
          <cell r="KP51">
            <v>3.2</v>
          </cell>
          <cell r="KQ51">
            <v>1.5</v>
          </cell>
          <cell r="KR51">
            <v>0</v>
          </cell>
          <cell r="KS51">
            <v>89.1</v>
          </cell>
          <cell r="KT51">
            <v>2.1999999999999997</v>
          </cell>
          <cell r="KU51">
            <v>3.8</v>
          </cell>
          <cell r="KV51">
            <v>3.3000000000000003</v>
          </cell>
          <cell r="KW51">
            <v>1.6</v>
          </cell>
          <cell r="KX51">
            <v>0</v>
          </cell>
          <cell r="KY51"/>
          <cell r="KZ51"/>
          <cell r="LA51"/>
          <cell r="LB51"/>
          <cell r="LC51"/>
          <cell r="LD51"/>
          <cell r="LE51"/>
          <cell r="LF51"/>
          <cell r="LG51"/>
          <cell r="LH51"/>
          <cell r="LI51"/>
          <cell r="LJ51"/>
          <cell r="LK51"/>
          <cell r="LL51"/>
          <cell r="LM51"/>
          <cell r="LN51"/>
          <cell r="LO51"/>
        </row>
        <row r="52">
          <cell r="A52" t="str">
            <v>3FZ</v>
          </cell>
          <cell r="B52" t="str">
            <v>52</v>
          </cell>
          <cell r="C52" t="str">
            <v>NAF 17</v>
          </cell>
          <cell r="D52" t="str">
            <v>FZ</v>
          </cell>
          <cell r="E52" t="str">
            <v>3</v>
          </cell>
          <cell r="F52">
            <v>0</v>
          </cell>
          <cell r="G52" t="str">
            <v>nd</v>
          </cell>
          <cell r="H52">
            <v>22.400000000000002</v>
          </cell>
          <cell r="I52">
            <v>66.7</v>
          </cell>
          <cell r="J52">
            <v>9.3000000000000007</v>
          </cell>
          <cell r="K52">
            <v>45.800000000000004</v>
          </cell>
          <cell r="L52">
            <v>17.899999999999999</v>
          </cell>
          <cell r="M52">
            <v>30</v>
          </cell>
          <cell r="N52" t="str">
            <v>nd</v>
          </cell>
          <cell r="O52">
            <v>19.400000000000002</v>
          </cell>
          <cell r="P52">
            <v>28.000000000000004</v>
          </cell>
          <cell r="Q52">
            <v>20.5</v>
          </cell>
          <cell r="R52">
            <v>5.4</v>
          </cell>
          <cell r="S52">
            <v>23.1</v>
          </cell>
          <cell r="T52">
            <v>23.200000000000003</v>
          </cell>
          <cell r="U52">
            <v>2.1999999999999997</v>
          </cell>
          <cell r="V52">
            <v>17.299999999999997</v>
          </cell>
          <cell r="W52">
            <v>12.6</v>
          </cell>
          <cell r="X52">
            <v>81.100000000000009</v>
          </cell>
          <cell r="Y52">
            <v>6.2</v>
          </cell>
          <cell r="Z52" t="str">
            <v>nd</v>
          </cell>
          <cell r="AA52">
            <v>51.6</v>
          </cell>
          <cell r="AB52">
            <v>0</v>
          </cell>
          <cell r="AC52">
            <v>25.4</v>
          </cell>
          <cell r="AD52">
            <v>38.1</v>
          </cell>
          <cell r="AE52">
            <v>48.9</v>
          </cell>
          <cell r="AF52">
            <v>51.1</v>
          </cell>
          <cell r="AG52">
            <v>77.900000000000006</v>
          </cell>
          <cell r="AH52">
            <v>22.1</v>
          </cell>
          <cell r="AI52">
            <v>34</v>
          </cell>
          <cell r="AJ52" t="str">
            <v>nd</v>
          </cell>
          <cell r="AK52">
            <v>7.3</v>
          </cell>
          <cell r="AL52">
            <v>53.1</v>
          </cell>
          <cell r="AM52" t="str">
            <v>nd</v>
          </cell>
          <cell r="AN52">
            <v>3.5000000000000004</v>
          </cell>
          <cell r="AO52">
            <v>9.4</v>
          </cell>
          <cell r="AP52" t="str">
            <v>nd</v>
          </cell>
          <cell r="AQ52">
            <v>80.600000000000009</v>
          </cell>
          <cell r="AR52" t="str">
            <v>nd</v>
          </cell>
          <cell r="AS52">
            <v>87.1</v>
          </cell>
          <cell r="AT52">
            <v>5.8999999999999995</v>
          </cell>
          <cell r="AU52" t="str">
            <v>nd</v>
          </cell>
          <cell r="AV52" t="str">
            <v>nd</v>
          </cell>
          <cell r="AW52" t="str">
            <v>nd</v>
          </cell>
          <cell r="AX52">
            <v>2.1999999999999997</v>
          </cell>
          <cell r="AY52" t="str">
            <v>nd</v>
          </cell>
          <cell r="AZ52" t="str">
            <v>nd</v>
          </cell>
          <cell r="BA52" t="str">
            <v>nd</v>
          </cell>
          <cell r="BB52">
            <v>5.0999999999999996</v>
          </cell>
          <cell r="BC52">
            <v>36.9</v>
          </cell>
          <cell r="BD52">
            <v>52.300000000000004</v>
          </cell>
          <cell r="BE52">
            <v>0</v>
          </cell>
          <cell r="BF52">
            <v>0</v>
          </cell>
          <cell r="BG52">
            <v>0</v>
          </cell>
          <cell r="BH52">
            <v>4.3</v>
          </cell>
          <cell r="BI52">
            <v>28.599999999999998</v>
          </cell>
          <cell r="BJ52">
            <v>67.100000000000009</v>
          </cell>
          <cell r="BK52">
            <v>0</v>
          </cell>
          <cell r="BL52">
            <v>0</v>
          </cell>
          <cell r="BM52">
            <v>0</v>
          </cell>
          <cell r="BN52" t="str">
            <v>nd</v>
          </cell>
          <cell r="BO52">
            <v>72.8</v>
          </cell>
          <cell r="BP52">
            <v>26.200000000000003</v>
          </cell>
          <cell r="BQ52">
            <v>0</v>
          </cell>
          <cell r="BR52">
            <v>0</v>
          </cell>
          <cell r="BS52">
            <v>0</v>
          </cell>
          <cell r="BT52">
            <v>2.9000000000000004</v>
          </cell>
          <cell r="BU52">
            <v>49</v>
          </cell>
          <cell r="BV52">
            <v>48.199999999999996</v>
          </cell>
          <cell r="BW52">
            <v>0</v>
          </cell>
          <cell r="BX52">
            <v>0</v>
          </cell>
          <cell r="BY52">
            <v>0</v>
          </cell>
          <cell r="BZ52">
            <v>0</v>
          </cell>
          <cell r="CA52" t="str">
            <v>nd</v>
          </cell>
          <cell r="CB52">
            <v>97.3</v>
          </cell>
          <cell r="CC52">
            <v>10.9</v>
          </cell>
          <cell r="CD52">
            <v>10.9</v>
          </cell>
          <cell r="CE52" t="str">
            <v>nd</v>
          </cell>
          <cell r="CF52">
            <v>4.5999999999999996</v>
          </cell>
          <cell r="CG52">
            <v>0</v>
          </cell>
          <cell r="CH52">
            <v>22.2</v>
          </cell>
          <cell r="CI52">
            <v>8.6999999999999993</v>
          </cell>
          <cell r="CJ52">
            <v>68</v>
          </cell>
          <cell r="CK52">
            <v>37.200000000000003</v>
          </cell>
          <cell r="CL52" t="str">
            <v>nd</v>
          </cell>
          <cell r="CM52" t="str">
            <v>nd</v>
          </cell>
          <cell r="CN52" t="str">
            <v>nd</v>
          </cell>
          <cell r="CO52">
            <v>61.9</v>
          </cell>
          <cell r="CP52">
            <v>5.8999999999999995</v>
          </cell>
          <cell r="CQ52">
            <v>44.2</v>
          </cell>
          <cell r="CR52">
            <v>24</v>
          </cell>
          <cell r="CS52">
            <v>25.900000000000002</v>
          </cell>
          <cell r="CT52">
            <v>6.4</v>
          </cell>
          <cell r="CU52">
            <v>93.600000000000009</v>
          </cell>
          <cell r="CV52">
            <v>7.1999999999999993</v>
          </cell>
          <cell r="CW52">
            <v>92.800000000000011</v>
          </cell>
          <cell r="CX52">
            <v>6.3</v>
          </cell>
          <cell r="CY52">
            <v>22.3</v>
          </cell>
          <cell r="CZ52">
            <v>71.399999999999991</v>
          </cell>
          <cell r="DA52">
            <v>0</v>
          </cell>
          <cell r="DB52">
            <v>0</v>
          </cell>
          <cell r="DC52" t="str">
            <v>nd</v>
          </cell>
          <cell r="DD52">
            <v>0</v>
          </cell>
          <cell r="DE52">
            <v>86.5</v>
          </cell>
          <cell r="DF52">
            <v>20.8</v>
          </cell>
          <cell r="DG52">
            <v>14.2</v>
          </cell>
          <cell r="DH52">
            <v>21.2</v>
          </cell>
          <cell r="DI52">
            <v>12.6</v>
          </cell>
          <cell r="DJ52">
            <v>13.100000000000001</v>
          </cell>
          <cell r="DK52">
            <v>18.099999999999998</v>
          </cell>
          <cell r="DL52">
            <v>24.8</v>
          </cell>
          <cell r="DM52">
            <v>27.500000000000004</v>
          </cell>
          <cell r="DN52">
            <v>6.1</v>
          </cell>
          <cell r="DO52">
            <v>33.300000000000004</v>
          </cell>
          <cell r="DP52">
            <v>3.4000000000000004</v>
          </cell>
          <cell r="DQ52">
            <v>0</v>
          </cell>
          <cell r="DR52">
            <v>16.600000000000001</v>
          </cell>
          <cell r="DS52">
            <v>18.600000000000001</v>
          </cell>
          <cell r="DT52">
            <v>9.6</v>
          </cell>
          <cell r="DU52">
            <v>0</v>
          </cell>
          <cell r="DV52">
            <v>0</v>
          </cell>
          <cell r="DW52">
            <v>0</v>
          </cell>
          <cell r="DX52">
            <v>0</v>
          </cell>
          <cell r="DY52">
            <v>0</v>
          </cell>
          <cell r="DZ52" t="str">
            <v>nd</v>
          </cell>
          <cell r="EA52" t="str">
            <v>nd</v>
          </cell>
          <cell r="EB52">
            <v>0</v>
          </cell>
          <cell r="EC52">
            <v>0</v>
          </cell>
          <cell r="ED52">
            <v>0</v>
          </cell>
          <cell r="EE52">
            <v>0</v>
          </cell>
          <cell r="EF52">
            <v>15.8291912</v>
          </cell>
          <cell r="EG52" t="str">
            <v>nd</v>
          </cell>
          <cell r="EH52" t="str">
            <v>nd</v>
          </cell>
          <cell r="EI52" t="str">
            <v>nd</v>
          </cell>
          <cell r="EJ52">
            <v>0</v>
          </cell>
          <cell r="EK52" t="str">
            <v>nd</v>
          </cell>
          <cell r="EL52">
            <v>64.184443799999997</v>
          </cell>
          <cell r="EM52" t="str">
            <v>nd</v>
          </cell>
          <cell r="EN52">
            <v>0</v>
          </cell>
          <cell r="EO52">
            <v>0</v>
          </cell>
          <cell r="EP52" t="str">
            <v>nd</v>
          </cell>
          <cell r="EQ52" t="str">
            <v>nd</v>
          </cell>
          <cell r="ER52">
            <v>5.82517</v>
          </cell>
          <cell r="ES52" t="str">
            <v>nd</v>
          </cell>
          <cell r="ET52">
            <v>0</v>
          </cell>
          <cell r="EU52">
            <v>0</v>
          </cell>
          <cell r="EV52" t="str">
            <v>nd</v>
          </cell>
          <cell r="EW52" t="str">
            <v>nd</v>
          </cell>
          <cell r="EX52">
            <v>0</v>
          </cell>
          <cell r="EY52">
            <v>0</v>
          </cell>
          <cell r="EZ52">
            <v>0</v>
          </cell>
          <cell r="FA52">
            <v>0</v>
          </cell>
          <cell r="FB52">
            <v>0</v>
          </cell>
          <cell r="FC52">
            <v>0</v>
          </cell>
          <cell r="FD52">
            <v>0</v>
          </cell>
          <cell r="FE52">
            <v>0</v>
          </cell>
          <cell r="FF52">
            <v>0</v>
          </cell>
          <cell r="FG52" t="str">
            <v>nd</v>
          </cell>
          <cell r="FH52">
            <v>0</v>
          </cell>
          <cell r="FI52">
            <v>0</v>
          </cell>
          <cell r="FJ52" t="str">
            <v>nd</v>
          </cell>
          <cell r="FK52" t="str">
            <v>nd</v>
          </cell>
          <cell r="FL52" t="str">
            <v>nd</v>
          </cell>
          <cell r="FM52">
            <v>10.8500067</v>
          </cell>
          <cell r="FN52">
            <v>5.9225399999999997</v>
          </cell>
          <cell r="FO52" t="str">
            <v>nd</v>
          </cell>
          <cell r="FP52">
            <v>0</v>
          </cell>
          <cell r="FQ52">
            <v>0</v>
          </cell>
          <cell r="FR52" t="str">
            <v>nd</v>
          </cell>
          <cell r="FS52">
            <v>23.129657099999999</v>
          </cell>
          <cell r="FT52">
            <v>39.480932899999999</v>
          </cell>
          <cell r="FU52">
            <v>0</v>
          </cell>
          <cell r="FV52">
            <v>0</v>
          </cell>
          <cell r="FW52">
            <v>0</v>
          </cell>
          <cell r="FX52" t="str">
            <v>nd</v>
          </cell>
          <cell r="FY52" t="str">
            <v>nd</v>
          </cell>
          <cell r="FZ52">
            <v>6.9255225000000005</v>
          </cell>
          <cell r="GA52">
            <v>0</v>
          </cell>
          <cell r="GB52">
            <v>0</v>
          </cell>
          <cell r="GC52">
            <v>0</v>
          </cell>
          <cell r="GD52">
            <v>0</v>
          </cell>
          <cell r="GE52">
            <v>0</v>
          </cell>
          <cell r="GF52">
            <v>0</v>
          </cell>
          <cell r="GG52">
            <v>0</v>
          </cell>
          <cell r="GH52">
            <v>0</v>
          </cell>
          <cell r="GI52">
            <v>0</v>
          </cell>
          <cell r="GJ52" t="str">
            <v>nd</v>
          </cell>
          <cell r="GK52" t="str">
            <v>nd</v>
          </cell>
          <cell r="GL52">
            <v>0</v>
          </cell>
          <cell r="GM52">
            <v>0</v>
          </cell>
          <cell r="GN52">
            <v>0</v>
          </cell>
          <cell r="GO52">
            <v>4.2677100000000001</v>
          </cell>
          <cell r="GP52">
            <v>12.578350299999999</v>
          </cell>
          <cell r="GQ52">
            <v>6.4007064000000007</v>
          </cell>
          <cell r="GR52">
            <v>0</v>
          </cell>
          <cell r="GS52">
            <v>0</v>
          </cell>
          <cell r="GT52">
            <v>0</v>
          </cell>
          <cell r="GU52">
            <v>0</v>
          </cell>
          <cell r="GV52">
            <v>11.1843699</v>
          </cell>
          <cell r="GW52">
            <v>53.822532899999999</v>
          </cell>
          <cell r="GX52">
            <v>0</v>
          </cell>
          <cell r="GY52">
            <v>0</v>
          </cell>
          <cell r="GZ52">
            <v>0</v>
          </cell>
          <cell r="HA52">
            <v>0</v>
          </cell>
          <cell r="HB52">
            <v>4.5540099999999999</v>
          </cell>
          <cell r="HC52">
            <v>5.6059999999999999</v>
          </cell>
          <cell r="HD52">
            <v>0</v>
          </cell>
          <cell r="HE52">
            <v>0</v>
          </cell>
          <cell r="HF52">
            <v>0</v>
          </cell>
          <cell r="HG52">
            <v>0</v>
          </cell>
          <cell r="HH52">
            <v>0</v>
          </cell>
          <cell r="HI52">
            <v>0</v>
          </cell>
          <cell r="HJ52">
            <v>0</v>
          </cell>
          <cell r="HK52">
            <v>0</v>
          </cell>
          <cell r="HL52">
            <v>0</v>
          </cell>
          <cell r="HM52" t="str">
            <v>nd</v>
          </cell>
          <cell r="HN52" t="str">
            <v>nd</v>
          </cell>
          <cell r="HO52">
            <v>0</v>
          </cell>
          <cell r="HP52">
            <v>0</v>
          </cell>
          <cell r="HQ52">
            <v>0</v>
          </cell>
          <cell r="HR52" t="str">
            <v>nd</v>
          </cell>
          <cell r="HS52">
            <v>18.642826200000002</v>
          </cell>
          <cell r="HT52">
            <v>3.5882699999999996</v>
          </cell>
          <cell r="HU52">
            <v>0</v>
          </cell>
          <cell r="HV52">
            <v>0</v>
          </cell>
          <cell r="HW52">
            <v>0</v>
          </cell>
          <cell r="HX52" t="str">
            <v>nd</v>
          </cell>
          <cell r="HY52">
            <v>45.197682499999999</v>
          </cell>
          <cell r="HZ52">
            <v>20.179308800000001</v>
          </cell>
          <cell r="IA52">
            <v>0</v>
          </cell>
          <cell r="IB52">
            <v>0</v>
          </cell>
          <cell r="IC52">
            <v>0</v>
          </cell>
          <cell r="ID52">
            <v>0</v>
          </cell>
          <cell r="IE52">
            <v>7.6252845000000002</v>
          </cell>
          <cell r="IF52" t="str">
            <v>nd</v>
          </cell>
          <cell r="IG52">
            <v>0</v>
          </cell>
          <cell r="IH52">
            <v>0</v>
          </cell>
          <cell r="II52">
            <v>0</v>
          </cell>
          <cell r="IJ52">
            <v>0</v>
          </cell>
          <cell r="IK52">
            <v>0</v>
          </cell>
          <cell r="IL52">
            <v>0</v>
          </cell>
          <cell r="IM52">
            <v>0</v>
          </cell>
          <cell r="IN52">
            <v>0</v>
          </cell>
          <cell r="IO52" t="str">
            <v>nd</v>
          </cell>
          <cell r="IP52">
            <v>0</v>
          </cell>
          <cell r="IQ52" t="str">
            <v>nd</v>
          </cell>
          <cell r="IR52">
            <v>0</v>
          </cell>
          <cell r="IS52">
            <v>0</v>
          </cell>
          <cell r="IT52">
            <v>0</v>
          </cell>
          <cell r="IU52" t="str">
            <v>nd</v>
          </cell>
          <cell r="IV52">
            <v>16.435322299999999</v>
          </cell>
          <cell r="IW52">
            <v>4.79779</v>
          </cell>
          <cell r="IX52">
            <v>0</v>
          </cell>
          <cell r="IY52">
            <v>0</v>
          </cell>
          <cell r="IZ52">
            <v>0</v>
          </cell>
          <cell r="JA52">
            <v>0</v>
          </cell>
          <cell r="JB52">
            <v>26.998602100000003</v>
          </cell>
          <cell r="JC52">
            <v>38.817009900000002</v>
          </cell>
          <cell r="JD52">
            <v>0</v>
          </cell>
          <cell r="JE52">
            <v>0</v>
          </cell>
          <cell r="JF52">
            <v>0</v>
          </cell>
          <cell r="JG52">
            <v>0</v>
          </cell>
          <cell r="JH52">
            <v>5.5254699999999994</v>
          </cell>
          <cell r="JI52">
            <v>4.27799</v>
          </cell>
          <cell r="JJ52">
            <v>0</v>
          </cell>
          <cell r="JK52">
            <v>0</v>
          </cell>
          <cell r="JL52">
            <v>0</v>
          </cell>
          <cell r="JM52">
            <v>0</v>
          </cell>
          <cell r="JN52">
            <v>0</v>
          </cell>
          <cell r="JO52">
            <v>0</v>
          </cell>
          <cell r="JP52">
            <v>0</v>
          </cell>
          <cell r="JQ52">
            <v>0</v>
          </cell>
          <cell r="JR52">
            <v>0</v>
          </cell>
          <cell r="JS52">
            <v>0</v>
          </cell>
          <cell r="JT52" t="str">
            <v>nd</v>
          </cell>
          <cell r="JU52">
            <v>0</v>
          </cell>
          <cell r="JV52">
            <v>0</v>
          </cell>
          <cell r="JW52">
            <v>0</v>
          </cell>
          <cell r="JX52">
            <v>0</v>
          </cell>
          <cell r="JY52">
            <v>0</v>
          </cell>
          <cell r="JZ52">
            <v>22.6325048</v>
          </cell>
          <cell r="KA52">
            <v>0</v>
          </cell>
          <cell r="KB52">
            <v>0</v>
          </cell>
          <cell r="KC52">
            <v>0</v>
          </cell>
          <cell r="KD52">
            <v>0</v>
          </cell>
          <cell r="KE52" t="str">
            <v>nd</v>
          </cell>
          <cell r="KF52">
            <v>62.841864199999996</v>
          </cell>
          <cell r="KG52">
            <v>0</v>
          </cell>
          <cell r="KH52">
            <v>0</v>
          </cell>
          <cell r="KI52">
            <v>0</v>
          </cell>
          <cell r="KJ52">
            <v>0</v>
          </cell>
          <cell r="KK52">
            <v>0</v>
          </cell>
          <cell r="KL52">
            <v>10.172663</v>
          </cell>
          <cell r="KM52">
            <v>83.7</v>
          </cell>
          <cell r="KN52">
            <v>5.8999999999999995</v>
          </cell>
          <cell r="KO52">
            <v>2.2999999999999998</v>
          </cell>
          <cell r="KP52">
            <v>4.3</v>
          </cell>
          <cell r="KQ52">
            <v>3.6999999999999997</v>
          </cell>
          <cell r="KR52">
            <v>0.1</v>
          </cell>
          <cell r="KS52">
            <v>82.899999999999991</v>
          </cell>
          <cell r="KT52">
            <v>6.1</v>
          </cell>
          <cell r="KU52">
            <v>2.7</v>
          </cell>
          <cell r="KV52">
            <v>4.3</v>
          </cell>
          <cell r="KW52">
            <v>3.9</v>
          </cell>
          <cell r="KX52">
            <v>0.1</v>
          </cell>
          <cell r="KY52"/>
          <cell r="KZ52"/>
          <cell r="LA52"/>
          <cell r="LB52"/>
          <cell r="LC52"/>
          <cell r="LD52"/>
          <cell r="LE52"/>
          <cell r="LF52"/>
          <cell r="LG52"/>
          <cell r="LH52"/>
          <cell r="LI52"/>
          <cell r="LJ52"/>
          <cell r="LK52"/>
          <cell r="LL52"/>
          <cell r="LM52"/>
          <cell r="LN52"/>
          <cell r="LO52"/>
        </row>
        <row r="53">
          <cell r="A53" t="str">
            <v>4FZ</v>
          </cell>
          <cell r="B53" t="str">
            <v>53</v>
          </cell>
          <cell r="C53" t="str">
            <v>NAF 17</v>
          </cell>
          <cell r="D53" t="str">
            <v>FZ</v>
          </cell>
          <cell r="E53" t="str">
            <v>4</v>
          </cell>
          <cell r="F53">
            <v>0</v>
          </cell>
          <cell r="G53">
            <v>4.1000000000000005</v>
          </cell>
          <cell r="H53">
            <v>25.5</v>
          </cell>
          <cell r="I53">
            <v>51.6</v>
          </cell>
          <cell r="J53">
            <v>18.8</v>
          </cell>
          <cell r="K53">
            <v>44.9</v>
          </cell>
          <cell r="L53">
            <v>30.099999999999998</v>
          </cell>
          <cell r="M53">
            <v>11.1</v>
          </cell>
          <cell r="N53">
            <v>13.900000000000002</v>
          </cell>
          <cell r="O53">
            <v>33.300000000000004</v>
          </cell>
          <cell r="P53">
            <v>21.099999999999998</v>
          </cell>
          <cell r="Q53">
            <v>12.1</v>
          </cell>
          <cell r="R53">
            <v>7.7</v>
          </cell>
          <cell r="S53">
            <v>22.2</v>
          </cell>
          <cell r="T53">
            <v>34.200000000000003</v>
          </cell>
          <cell r="U53">
            <v>10.8</v>
          </cell>
          <cell r="V53">
            <v>13.3</v>
          </cell>
          <cell r="W53">
            <v>6.1</v>
          </cell>
          <cell r="X53">
            <v>87.1</v>
          </cell>
          <cell r="Y53">
            <v>6.8000000000000007</v>
          </cell>
          <cell r="Z53">
            <v>0</v>
          </cell>
          <cell r="AA53" t="str">
            <v>nd</v>
          </cell>
          <cell r="AB53" t="str">
            <v>nd</v>
          </cell>
          <cell r="AC53">
            <v>83.7</v>
          </cell>
          <cell r="AD53" t="str">
            <v>nd</v>
          </cell>
          <cell r="AE53">
            <v>60.699999999999996</v>
          </cell>
          <cell r="AF53">
            <v>39.300000000000004</v>
          </cell>
          <cell r="AG53">
            <v>81.599999999999994</v>
          </cell>
          <cell r="AH53">
            <v>18.399999999999999</v>
          </cell>
          <cell r="AI53">
            <v>35.4</v>
          </cell>
          <cell r="AJ53">
            <v>6.4</v>
          </cell>
          <cell r="AK53">
            <v>3.9</v>
          </cell>
          <cell r="AL53">
            <v>43.6</v>
          </cell>
          <cell r="AM53">
            <v>10.7</v>
          </cell>
          <cell r="AN53" t="str">
            <v>nd</v>
          </cell>
          <cell r="AO53">
            <v>4.9000000000000004</v>
          </cell>
          <cell r="AP53" t="str">
            <v>nd</v>
          </cell>
          <cell r="AQ53">
            <v>88.1</v>
          </cell>
          <cell r="AR53">
            <v>2</v>
          </cell>
          <cell r="AS53">
            <v>81.3</v>
          </cell>
          <cell r="AT53">
            <v>9.6</v>
          </cell>
          <cell r="AU53">
            <v>4.2</v>
          </cell>
          <cell r="AV53" t="str">
            <v>nd</v>
          </cell>
          <cell r="AW53" t="str">
            <v>nd</v>
          </cell>
          <cell r="AX53" t="str">
            <v>nd</v>
          </cell>
          <cell r="AY53">
            <v>0</v>
          </cell>
          <cell r="AZ53" t="str">
            <v>nd</v>
          </cell>
          <cell r="BA53" t="str">
            <v>nd</v>
          </cell>
          <cell r="BB53">
            <v>15</v>
          </cell>
          <cell r="BC53">
            <v>38.4</v>
          </cell>
          <cell r="BD53">
            <v>42.9</v>
          </cell>
          <cell r="BE53">
            <v>0</v>
          </cell>
          <cell r="BF53">
            <v>0</v>
          </cell>
          <cell r="BG53" t="str">
            <v>nd</v>
          </cell>
          <cell r="BH53">
            <v>4.2</v>
          </cell>
          <cell r="BI53">
            <v>44.6</v>
          </cell>
          <cell r="BJ53">
            <v>49.7</v>
          </cell>
          <cell r="BK53">
            <v>0</v>
          </cell>
          <cell r="BL53">
            <v>0</v>
          </cell>
          <cell r="BM53">
            <v>0</v>
          </cell>
          <cell r="BN53">
            <v>6.2</v>
          </cell>
          <cell r="BO53">
            <v>78.7</v>
          </cell>
          <cell r="BP53">
            <v>15.1</v>
          </cell>
          <cell r="BQ53">
            <v>0</v>
          </cell>
          <cell r="BR53">
            <v>0</v>
          </cell>
          <cell r="BS53" t="str">
            <v>nd</v>
          </cell>
          <cell r="BT53" t="str">
            <v>nd</v>
          </cell>
          <cell r="BU53">
            <v>52.900000000000006</v>
          </cell>
          <cell r="BV53">
            <v>42.699999999999996</v>
          </cell>
          <cell r="BW53">
            <v>0</v>
          </cell>
          <cell r="BX53">
            <v>0</v>
          </cell>
          <cell r="BY53">
            <v>0</v>
          </cell>
          <cell r="BZ53">
            <v>0</v>
          </cell>
          <cell r="CA53">
            <v>3.1</v>
          </cell>
          <cell r="CB53">
            <v>96.899999999999991</v>
          </cell>
          <cell r="CC53">
            <v>6</v>
          </cell>
          <cell r="CD53">
            <v>14.499999999999998</v>
          </cell>
          <cell r="CE53">
            <v>6.6000000000000005</v>
          </cell>
          <cell r="CF53">
            <v>9.3000000000000007</v>
          </cell>
          <cell r="CG53" t="str">
            <v>nd</v>
          </cell>
          <cell r="CH53">
            <v>22.2</v>
          </cell>
          <cell r="CI53">
            <v>10.4</v>
          </cell>
          <cell r="CJ53">
            <v>67.300000000000011</v>
          </cell>
          <cell r="CK53">
            <v>44</v>
          </cell>
          <cell r="CL53" t="str">
            <v>nd</v>
          </cell>
          <cell r="CM53" t="str">
            <v>nd</v>
          </cell>
          <cell r="CN53" t="str">
            <v>nd</v>
          </cell>
          <cell r="CO53">
            <v>55.900000000000006</v>
          </cell>
          <cell r="CP53">
            <v>5.8999999999999995</v>
          </cell>
          <cell r="CQ53">
            <v>43.5</v>
          </cell>
          <cell r="CR53">
            <v>23.9</v>
          </cell>
          <cell r="CS53">
            <v>26.700000000000003</v>
          </cell>
          <cell r="CT53">
            <v>9.6</v>
          </cell>
          <cell r="CU53">
            <v>90.4</v>
          </cell>
          <cell r="CV53">
            <v>10.8</v>
          </cell>
          <cell r="CW53">
            <v>89.2</v>
          </cell>
          <cell r="CX53">
            <v>16.8</v>
          </cell>
          <cell r="CY53">
            <v>20.9</v>
          </cell>
          <cell r="CZ53">
            <v>62.3</v>
          </cell>
          <cell r="DA53">
            <v>39.700000000000003</v>
          </cell>
          <cell r="DB53">
            <v>0</v>
          </cell>
          <cell r="DC53">
            <v>0</v>
          </cell>
          <cell r="DD53">
            <v>0</v>
          </cell>
          <cell r="DE53">
            <v>60.3</v>
          </cell>
          <cell r="DF53">
            <v>17.100000000000001</v>
          </cell>
          <cell r="DG53">
            <v>13.3</v>
          </cell>
          <cell r="DH53">
            <v>15.5</v>
          </cell>
          <cell r="DI53">
            <v>15</v>
          </cell>
          <cell r="DJ53">
            <v>24.7</v>
          </cell>
          <cell r="DK53">
            <v>14.399999999999999</v>
          </cell>
          <cell r="DL53">
            <v>25.3</v>
          </cell>
          <cell r="DM53">
            <v>41.4</v>
          </cell>
          <cell r="DN53">
            <v>2.1999999999999997</v>
          </cell>
          <cell r="DO53">
            <v>22.400000000000002</v>
          </cell>
          <cell r="DP53">
            <v>6.1</v>
          </cell>
          <cell r="DQ53" t="str">
            <v>nd</v>
          </cell>
          <cell r="DR53">
            <v>6.9</v>
          </cell>
          <cell r="DS53">
            <v>7.6</v>
          </cell>
          <cell r="DT53">
            <v>17.5</v>
          </cell>
          <cell r="DU53">
            <v>0</v>
          </cell>
          <cell r="DV53">
            <v>0</v>
          </cell>
          <cell r="DW53">
            <v>0</v>
          </cell>
          <cell r="DX53">
            <v>0</v>
          </cell>
          <cell r="DY53">
            <v>0</v>
          </cell>
          <cell r="DZ53" t="str">
            <v>nd</v>
          </cell>
          <cell r="EA53">
            <v>0</v>
          </cell>
          <cell r="EB53" t="str">
            <v>nd</v>
          </cell>
          <cell r="EC53">
            <v>0</v>
          </cell>
          <cell r="ED53">
            <v>0</v>
          </cell>
          <cell r="EE53">
            <v>0</v>
          </cell>
          <cell r="EF53">
            <v>16.649100399999998</v>
          </cell>
          <cell r="EG53">
            <v>5.4546000000000001</v>
          </cell>
          <cell r="EH53">
            <v>2.6962199999999998</v>
          </cell>
          <cell r="EI53">
            <v>0</v>
          </cell>
          <cell r="EJ53" t="str">
            <v>nd</v>
          </cell>
          <cell r="EK53">
            <v>0</v>
          </cell>
          <cell r="EL53">
            <v>48.047394699999998</v>
          </cell>
          <cell r="EM53">
            <v>2.9447999999999999</v>
          </cell>
          <cell r="EN53">
            <v>0</v>
          </cell>
          <cell r="EO53">
            <v>0</v>
          </cell>
          <cell r="EP53">
            <v>0</v>
          </cell>
          <cell r="EQ53" t="str">
            <v>nd</v>
          </cell>
          <cell r="ER53">
            <v>13.096689100000001</v>
          </cell>
          <cell r="ES53" t="str">
            <v>nd</v>
          </cell>
          <cell r="ET53">
            <v>0</v>
          </cell>
          <cell r="EU53" t="str">
            <v>nd</v>
          </cell>
          <cell r="EV53">
            <v>0</v>
          </cell>
          <cell r="EW53" t="str">
            <v>nd</v>
          </cell>
          <cell r="EX53">
            <v>0</v>
          </cell>
          <cell r="EY53">
            <v>0</v>
          </cell>
          <cell r="EZ53">
            <v>0</v>
          </cell>
          <cell r="FA53">
            <v>0</v>
          </cell>
          <cell r="FB53">
            <v>0</v>
          </cell>
          <cell r="FC53">
            <v>0</v>
          </cell>
          <cell r="FD53">
            <v>0</v>
          </cell>
          <cell r="FE53">
            <v>0</v>
          </cell>
          <cell r="FF53" t="str">
            <v>nd</v>
          </cell>
          <cell r="FG53" t="str">
            <v>nd</v>
          </cell>
          <cell r="FH53">
            <v>0</v>
          </cell>
          <cell r="FI53">
            <v>0</v>
          </cell>
          <cell r="FJ53">
            <v>0</v>
          </cell>
          <cell r="FK53">
            <v>0</v>
          </cell>
          <cell r="FL53">
            <v>7.5251955999999991</v>
          </cell>
          <cell r="FM53">
            <v>10.658352300000001</v>
          </cell>
          <cell r="FN53">
            <v>6.7349450000000006</v>
          </cell>
          <cell r="FO53">
            <v>0</v>
          </cell>
          <cell r="FP53">
            <v>0</v>
          </cell>
          <cell r="FQ53" t="str">
            <v>nd</v>
          </cell>
          <cell r="FR53" t="str">
            <v>nd</v>
          </cell>
          <cell r="FS53">
            <v>20.724149699999998</v>
          </cell>
          <cell r="FT53">
            <v>27.261960699999999</v>
          </cell>
          <cell r="FU53">
            <v>0</v>
          </cell>
          <cell r="FV53" t="str">
            <v>nd</v>
          </cell>
          <cell r="FW53">
            <v>0</v>
          </cell>
          <cell r="FX53" t="str">
            <v>nd</v>
          </cell>
          <cell r="FY53">
            <v>5.9775700000000001</v>
          </cell>
          <cell r="FZ53">
            <v>8.9127007999999996</v>
          </cell>
          <cell r="GA53">
            <v>0</v>
          </cell>
          <cell r="GB53">
            <v>0</v>
          </cell>
          <cell r="GC53">
            <v>0</v>
          </cell>
          <cell r="GD53">
            <v>0</v>
          </cell>
          <cell r="GE53">
            <v>0</v>
          </cell>
          <cell r="GF53">
            <v>0</v>
          </cell>
          <cell r="GG53">
            <v>0</v>
          </cell>
          <cell r="GH53" t="str">
            <v>nd</v>
          </cell>
          <cell r="GI53">
            <v>0</v>
          </cell>
          <cell r="GJ53" t="str">
            <v>nd</v>
          </cell>
          <cell r="GK53">
            <v>0</v>
          </cell>
          <cell r="GL53">
            <v>0</v>
          </cell>
          <cell r="GM53">
            <v>0</v>
          </cell>
          <cell r="GN53">
            <v>0</v>
          </cell>
          <cell r="GO53" t="str">
            <v>nd</v>
          </cell>
          <cell r="GP53">
            <v>12.645422400000001</v>
          </cell>
          <cell r="GQ53">
            <v>9.5116607000000002</v>
          </cell>
          <cell r="GR53">
            <v>0</v>
          </cell>
          <cell r="GS53">
            <v>0</v>
          </cell>
          <cell r="GT53">
            <v>0</v>
          </cell>
          <cell r="GU53">
            <v>0</v>
          </cell>
          <cell r="GV53">
            <v>21.873425899999997</v>
          </cell>
          <cell r="GW53">
            <v>28.425753199999999</v>
          </cell>
          <cell r="GX53">
            <v>0</v>
          </cell>
          <cell r="GY53">
            <v>0</v>
          </cell>
          <cell r="GZ53">
            <v>0</v>
          </cell>
          <cell r="HA53" t="str">
            <v>nd</v>
          </cell>
          <cell r="HB53">
            <v>6.5437850000000006</v>
          </cell>
          <cell r="HC53">
            <v>11.8024775</v>
          </cell>
          <cell r="HD53">
            <v>0</v>
          </cell>
          <cell r="HE53">
            <v>0</v>
          </cell>
          <cell r="HF53">
            <v>0</v>
          </cell>
          <cell r="HG53">
            <v>0</v>
          </cell>
          <cell r="HH53">
            <v>0</v>
          </cell>
          <cell r="HI53">
            <v>0</v>
          </cell>
          <cell r="HJ53">
            <v>0</v>
          </cell>
          <cell r="HK53">
            <v>0</v>
          </cell>
          <cell r="HL53" t="str">
            <v>nd</v>
          </cell>
          <cell r="HM53" t="str">
            <v>nd</v>
          </cell>
          <cell r="HN53">
            <v>0</v>
          </cell>
          <cell r="HO53">
            <v>0</v>
          </cell>
          <cell r="HP53">
            <v>0</v>
          </cell>
          <cell r="HQ53">
            <v>0</v>
          </cell>
          <cell r="HR53" t="str">
            <v>nd</v>
          </cell>
          <cell r="HS53">
            <v>19.614541499999998</v>
          </cell>
          <cell r="HT53">
            <v>3.7848100000000002</v>
          </cell>
          <cell r="HU53">
            <v>0</v>
          </cell>
          <cell r="HV53">
            <v>0</v>
          </cell>
          <cell r="HW53">
            <v>0</v>
          </cell>
          <cell r="HX53" t="str">
            <v>nd</v>
          </cell>
          <cell r="HY53">
            <v>43.002718800000004</v>
          </cell>
          <cell r="HZ53">
            <v>6.2557386000000008</v>
          </cell>
          <cell r="IA53">
            <v>0</v>
          </cell>
          <cell r="IB53">
            <v>0</v>
          </cell>
          <cell r="IC53">
            <v>0</v>
          </cell>
          <cell r="ID53">
            <v>0</v>
          </cell>
          <cell r="IE53">
            <v>14.9973744</v>
          </cell>
          <cell r="IF53">
            <v>5.1249099999999999</v>
          </cell>
          <cell r="IG53">
            <v>0</v>
          </cell>
          <cell r="IH53">
            <v>0</v>
          </cell>
          <cell r="II53">
            <v>0</v>
          </cell>
          <cell r="IJ53">
            <v>0</v>
          </cell>
          <cell r="IK53">
            <v>0</v>
          </cell>
          <cell r="IL53">
            <v>0</v>
          </cell>
          <cell r="IM53">
            <v>0</v>
          </cell>
          <cell r="IN53" t="str">
            <v>nd</v>
          </cell>
          <cell r="IO53" t="str">
            <v>nd</v>
          </cell>
          <cell r="IP53">
            <v>0</v>
          </cell>
          <cell r="IQ53">
            <v>0</v>
          </cell>
          <cell r="IR53">
            <v>0</v>
          </cell>
          <cell r="IS53">
            <v>0</v>
          </cell>
          <cell r="IT53">
            <v>0</v>
          </cell>
          <cell r="IU53">
            <v>0</v>
          </cell>
          <cell r="IV53">
            <v>19.0161005</v>
          </cell>
          <cell r="IW53">
            <v>7.2439131000000003</v>
          </cell>
          <cell r="IX53">
            <v>0</v>
          </cell>
          <cell r="IY53">
            <v>0</v>
          </cell>
          <cell r="IZ53">
            <v>0</v>
          </cell>
          <cell r="JA53" t="str">
            <v>nd</v>
          </cell>
          <cell r="JB53">
            <v>23.081532499999998</v>
          </cell>
          <cell r="JC53">
            <v>27.307650800000001</v>
          </cell>
          <cell r="JD53">
            <v>0</v>
          </cell>
          <cell r="JE53">
            <v>0</v>
          </cell>
          <cell r="JF53">
            <v>0</v>
          </cell>
          <cell r="JG53">
            <v>0</v>
          </cell>
          <cell r="JH53">
            <v>10.782809799999999</v>
          </cell>
          <cell r="JI53">
            <v>8.1749815000000012</v>
          </cell>
          <cell r="JJ53">
            <v>0</v>
          </cell>
          <cell r="JK53">
            <v>0</v>
          </cell>
          <cell r="JL53">
            <v>0</v>
          </cell>
          <cell r="JM53">
            <v>0</v>
          </cell>
          <cell r="JN53">
            <v>0</v>
          </cell>
          <cell r="JO53">
            <v>0</v>
          </cell>
          <cell r="JP53">
            <v>0</v>
          </cell>
          <cell r="JQ53">
            <v>0</v>
          </cell>
          <cell r="JR53">
            <v>0</v>
          </cell>
          <cell r="JS53" t="str">
            <v>nd</v>
          </cell>
          <cell r="JT53" t="str">
            <v>nd</v>
          </cell>
          <cell r="JU53">
            <v>0</v>
          </cell>
          <cell r="JV53">
            <v>0</v>
          </cell>
          <cell r="JW53">
            <v>0</v>
          </cell>
          <cell r="JX53">
            <v>0</v>
          </cell>
          <cell r="JY53" t="str">
            <v>nd</v>
          </cell>
          <cell r="JZ53">
            <v>25.272414599999998</v>
          </cell>
          <cell r="KA53">
            <v>0</v>
          </cell>
          <cell r="KB53">
            <v>0</v>
          </cell>
          <cell r="KC53">
            <v>0</v>
          </cell>
          <cell r="KD53">
            <v>0</v>
          </cell>
          <cell r="KE53">
            <v>0</v>
          </cell>
          <cell r="KF53">
            <v>50.550934900000001</v>
          </cell>
          <cell r="KG53">
            <v>0</v>
          </cell>
          <cell r="KH53">
            <v>0</v>
          </cell>
          <cell r="KI53">
            <v>0</v>
          </cell>
          <cell r="KJ53">
            <v>0</v>
          </cell>
          <cell r="KK53" t="str">
            <v>nd</v>
          </cell>
          <cell r="KL53">
            <v>18.669371900000002</v>
          </cell>
          <cell r="KM53">
            <v>79.900000000000006</v>
          </cell>
          <cell r="KN53">
            <v>7.0000000000000009</v>
          </cell>
          <cell r="KO53">
            <v>3.5000000000000004</v>
          </cell>
          <cell r="KP53">
            <v>5.3</v>
          </cell>
          <cell r="KQ53">
            <v>4.1000000000000005</v>
          </cell>
          <cell r="KR53">
            <v>0.2</v>
          </cell>
          <cell r="KS53">
            <v>78.600000000000009</v>
          </cell>
          <cell r="KT53">
            <v>8</v>
          </cell>
          <cell r="KU53">
            <v>3.5999999999999996</v>
          </cell>
          <cell r="KV53">
            <v>5.6000000000000005</v>
          </cell>
          <cell r="KW53">
            <v>4</v>
          </cell>
          <cell r="KX53">
            <v>0.1</v>
          </cell>
          <cell r="KY53"/>
          <cell r="KZ53"/>
          <cell r="LA53"/>
          <cell r="LB53"/>
          <cell r="LC53"/>
          <cell r="LD53"/>
          <cell r="LE53"/>
          <cell r="LF53"/>
          <cell r="LG53"/>
          <cell r="LH53"/>
          <cell r="LI53"/>
          <cell r="LJ53"/>
          <cell r="LK53"/>
          <cell r="LL53"/>
          <cell r="LM53"/>
          <cell r="LN53"/>
          <cell r="LO53"/>
        </row>
        <row r="54">
          <cell r="A54" t="str">
            <v>5FZ</v>
          </cell>
          <cell r="B54" t="str">
            <v>54</v>
          </cell>
          <cell r="C54" t="str">
            <v>NAF 17</v>
          </cell>
          <cell r="D54" t="str">
            <v>FZ</v>
          </cell>
          <cell r="E54" t="str">
            <v>5</v>
          </cell>
          <cell r="F54">
            <v>0</v>
          </cell>
          <cell r="G54" t="str">
            <v>nd</v>
          </cell>
          <cell r="H54">
            <v>44.5</v>
          </cell>
          <cell r="I54">
            <v>43.3</v>
          </cell>
          <cell r="J54">
            <v>11.3</v>
          </cell>
          <cell r="K54">
            <v>47.4</v>
          </cell>
          <cell r="L54">
            <v>19.600000000000001</v>
          </cell>
          <cell r="M54">
            <v>14.799999999999999</v>
          </cell>
          <cell r="N54">
            <v>18.3</v>
          </cell>
          <cell r="O54">
            <v>29.799999999999997</v>
          </cell>
          <cell r="P54">
            <v>38.5</v>
          </cell>
          <cell r="Q54">
            <v>22.2</v>
          </cell>
          <cell r="R54" t="str">
            <v>nd</v>
          </cell>
          <cell r="S54">
            <v>7.5</v>
          </cell>
          <cell r="T54">
            <v>21.9</v>
          </cell>
          <cell r="U54" t="str">
            <v>nd</v>
          </cell>
          <cell r="V54">
            <v>19.400000000000002</v>
          </cell>
          <cell r="W54">
            <v>9</v>
          </cell>
          <cell r="X54">
            <v>85.7</v>
          </cell>
          <cell r="Y54">
            <v>5.3</v>
          </cell>
          <cell r="Z54">
            <v>0</v>
          </cell>
          <cell r="AA54" t="str">
            <v>nd</v>
          </cell>
          <cell r="AB54">
            <v>0</v>
          </cell>
          <cell r="AC54" t="str">
            <v>nd</v>
          </cell>
          <cell r="AD54">
            <v>70</v>
          </cell>
          <cell r="AE54">
            <v>82.699999999999989</v>
          </cell>
          <cell r="AF54">
            <v>17.299999999999997</v>
          </cell>
          <cell r="AG54">
            <v>85.399999999999991</v>
          </cell>
          <cell r="AH54">
            <v>14.6</v>
          </cell>
          <cell r="AI54">
            <v>17.299999999999997</v>
          </cell>
          <cell r="AJ54" t="str">
            <v>nd</v>
          </cell>
          <cell r="AK54">
            <v>8.1</v>
          </cell>
          <cell r="AL54">
            <v>58.5</v>
          </cell>
          <cell r="AM54">
            <v>10.100000000000001</v>
          </cell>
          <cell r="AN54" t="str">
            <v>nd</v>
          </cell>
          <cell r="AO54" t="str">
            <v>nd</v>
          </cell>
          <cell r="AP54" t="str">
            <v>nd</v>
          </cell>
          <cell r="AQ54">
            <v>72.899999999999991</v>
          </cell>
          <cell r="AR54">
            <v>21.5</v>
          </cell>
          <cell r="AS54">
            <v>79.7</v>
          </cell>
          <cell r="AT54">
            <v>12.5</v>
          </cell>
          <cell r="AU54" t="str">
            <v>nd</v>
          </cell>
          <cell r="AV54" t="str">
            <v>nd</v>
          </cell>
          <cell r="AW54" t="str">
            <v>nd</v>
          </cell>
          <cell r="AX54">
            <v>0</v>
          </cell>
          <cell r="AY54" t="str">
            <v>nd</v>
          </cell>
          <cell r="AZ54" t="str">
            <v>nd</v>
          </cell>
          <cell r="BA54" t="str">
            <v>nd</v>
          </cell>
          <cell r="BB54">
            <v>15.2</v>
          </cell>
          <cell r="BC54">
            <v>61.8</v>
          </cell>
          <cell r="BD54">
            <v>20.8</v>
          </cell>
          <cell r="BE54">
            <v>0</v>
          </cell>
          <cell r="BF54">
            <v>0</v>
          </cell>
          <cell r="BG54">
            <v>0</v>
          </cell>
          <cell r="BH54">
            <v>7.1999999999999993</v>
          </cell>
          <cell r="BI54">
            <v>49.5</v>
          </cell>
          <cell r="BJ54">
            <v>43.2</v>
          </cell>
          <cell r="BK54">
            <v>0</v>
          </cell>
          <cell r="BL54">
            <v>0</v>
          </cell>
          <cell r="BM54">
            <v>0</v>
          </cell>
          <cell r="BN54">
            <v>9.5</v>
          </cell>
          <cell r="BO54">
            <v>77.600000000000009</v>
          </cell>
          <cell r="BP54">
            <v>12.9</v>
          </cell>
          <cell r="BQ54">
            <v>0</v>
          </cell>
          <cell r="BR54">
            <v>0</v>
          </cell>
          <cell r="BS54">
            <v>0</v>
          </cell>
          <cell r="BT54">
            <v>5.2</v>
          </cell>
          <cell r="BU54">
            <v>78</v>
          </cell>
          <cell r="BV54">
            <v>16.7</v>
          </cell>
          <cell r="BW54">
            <v>0</v>
          </cell>
          <cell r="BX54">
            <v>0</v>
          </cell>
          <cell r="BY54">
            <v>0</v>
          </cell>
          <cell r="BZ54">
            <v>0</v>
          </cell>
          <cell r="CA54" t="str">
            <v>nd</v>
          </cell>
          <cell r="CB54">
            <v>99.8</v>
          </cell>
          <cell r="CC54">
            <v>0</v>
          </cell>
          <cell r="CD54">
            <v>13.900000000000002</v>
          </cell>
          <cell r="CE54">
            <v>9.1</v>
          </cell>
          <cell r="CF54" t="str">
            <v>nd</v>
          </cell>
          <cell r="CG54" t="str">
            <v>nd</v>
          </cell>
          <cell r="CH54">
            <v>21.5</v>
          </cell>
          <cell r="CI54">
            <v>13.100000000000001</v>
          </cell>
          <cell r="CJ54">
            <v>69.3</v>
          </cell>
          <cell r="CK54">
            <v>58.4</v>
          </cell>
          <cell r="CL54" t="str">
            <v>nd</v>
          </cell>
          <cell r="CM54" t="str">
            <v>nd</v>
          </cell>
          <cell r="CN54">
            <v>0</v>
          </cell>
          <cell r="CO54">
            <v>39.6</v>
          </cell>
          <cell r="CP54" t="str">
            <v>nd</v>
          </cell>
          <cell r="CQ54">
            <v>46.400000000000006</v>
          </cell>
          <cell r="CR54">
            <v>19</v>
          </cell>
          <cell r="CS54">
            <v>32.5</v>
          </cell>
          <cell r="CT54">
            <v>5.3</v>
          </cell>
          <cell r="CU54">
            <v>94.699999999999989</v>
          </cell>
          <cell r="CV54">
            <v>4.3999999999999995</v>
          </cell>
          <cell r="CW54">
            <v>95.6</v>
          </cell>
          <cell r="CX54">
            <v>3.4000000000000004</v>
          </cell>
          <cell r="CY54">
            <v>27.200000000000003</v>
          </cell>
          <cell r="CZ54">
            <v>69.399999999999991</v>
          </cell>
          <cell r="DA54">
            <v>0</v>
          </cell>
          <cell r="DB54">
            <v>0</v>
          </cell>
          <cell r="DC54">
            <v>0</v>
          </cell>
          <cell r="DD54">
            <v>0</v>
          </cell>
          <cell r="DE54">
            <v>100</v>
          </cell>
          <cell r="DF54">
            <v>26.200000000000003</v>
          </cell>
          <cell r="DG54">
            <v>8.1</v>
          </cell>
          <cell r="DH54">
            <v>21.099999999999998</v>
          </cell>
          <cell r="DI54">
            <v>4.8</v>
          </cell>
          <cell r="DJ54">
            <v>12.5</v>
          </cell>
          <cell r="DK54">
            <v>27.200000000000003</v>
          </cell>
          <cell r="DL54">
            <v>22</v>
          </cell>
          <cell r="DM54">
            <v>22.8</v>
          </cell>
          <cell r="DN54">
            <v>13.3</v>
          </cell>
          <cell r="DO54">
            <v>38.6</v>
          </cell>
          <cell r="DP54">
            <v>7.9</v>
          </cell>
          <cell r="DQ54" t="str">
            <v>nd</v>
          </cell>
          <cell r="DR54">
            <v>14.2</v>
          </cell>
          <cell r="DS54">
            <v>28.4</v>
          </cell>
          <cell r="DT54">
            <v>16.8</v>
          </cell>
          <cell r="DU54">
            <v>0</v>
          </cell>
          <cell r="DV54">
            <v>0</v>
          </cell>
          <cell r="DW54">
            <v>0</v>
          </cell>
          <cell r="DX54">
            <v>0</v>
          </cell>
          <cell r="DY54">
            <v>0</v>
          </cell>
          <cell r="DZ54" t="str">
            <v>nd</v>
          </cell>
          <cell r="EA54">
            <v>0</v>
          </cell>
          <cell r="EB54">
            <v>0</v>
          </cell>
          <cell r="EC54">
            <v>0</v>
          </cell>
          <cell r="ED54">
            <v>0</v>
          </cell>
          <cell r="EE54">
            <v>0</v>
          </cell>
          <cell r="EF54">
            <v>33.448636999999998</v>
          </cell>
          <cell r="EG54">
            <v>8.8659584999999996</v>
          </cell>
          <cell r="EH54" t="str">
            <v>nd</v>
          </cell>
          <cell r="EI54" t="str">
            <v>nd</v>
          </cell>
          <cell r="EJ54">
            <v>0</v>
          </cell>
          <cell r="EK54">
            <v>0</v>
          </cell>
          <cell r="EL54">
            <v>35.302810099999995</v>
          </cell>
          <cell r="EM54" t="str">
            <v>nd</v>
          </cell>
          <cell r="EN54">
            <v>0</v>
          </cell>
          <cell r="EO54">
            <v>0</v>
          </cell>
          <cell r="EP54" t="str">
            <v>nd</v>
          </cell>
          <cell r="EQ54">
            <v>0</v>
          </cell>
          <cell r="ER54">
            <v>10.094313400000001</v>
          </cell>
          <cell r="ES54">
            <v>0</v>
          </cell>
          <cell r="ET54" t="str">
            <v>nd</v>
          </cell>
          <cell r="EU54">
            <v>0</v>
          </cell>
          <cell r="EV54">
            <v>0</v>
          </cell>
          <cell r="EW54">
            <v>0</v>
          </cell>
          <cell r="EX54">
            <v>0</v>
          </cell>
          <cell r="EY54">
            <v>0</v>
          </cell>
          <cell r="EZ54">
            <v>0</v>
          </cell>
          <cell r="FA54">
            <v>0</v>
          </cell>
          <cell r="FB54">
            <v>0</v>
          </cell>
          <cell r="FC54">
            <v>0</v>
          </cell>
          <cell r="FD54">
            <v>0</v>
          </cell>
          <cell r="FE54" t="str">
            <v>nd</v>
          </cell>
          <cell r="FF54">
            <v>0</v>
          </cell>
          <cell r="FG54" t="str">
            <v>nd</v>
          </cell>
          <cell r="FH54">
            <v>0</v>
          </cell>
          <cell r="FI54" t="str">
            <v>nd</v>
          </cell>
          <cell r="FJ54">
            <v>0</v>
          </cell>
          <cell r="FK54">
            <v>0</v>
          </cell>
          <cell r="FL54" t="str">
            <v>nd</v>
          </cell>
          <cell r="FM54">
            <v>33.308167400000002</v>
          </cell>
          <cell r="FN54">
            <v>7.8876001999999996</v>
          </cell>
          <cell r="FO54">
            <v>0</v>
          </cell>
          <cell r="FP54">
            <v>0</v>
          </cell>
          <cell r="FQ54">
            <v>0</v>
          </cell>
          <cell r="FR54">
            <v>9.6807540999999997</v>
          </cell>
          <cell r="FS54">
            <v>23.6006404</v>
          </cell>
          <cell r="FT54">
            <v>10.197983800000001</v>
          </cell>
          <cell r="FU54">
            <v>0</v>
          </cell>
          <cell r="FV54" t="str">
            <v>nd</v>
          </cell>
          <cell r="FW54">
            <v>0</v>
          </cell>
          <cell r="FX54" t="str">
            <v>nd</v>
          </cell>
          <cell r="FY54" t="str">
            <v>nd</v>
          </cell>
          <cell r="FZ54" t="str">
            <v>nd</v>
          </cell>
          <cell r="GA54">
            <v>0</v>
          </cell>
          <cell r="GB54">
            <v>0</v>
          </cell>
          <cell r="GC54">
            <v>0</v>
          </cell>
          <cell r="GD54">
            <v>0</v>
          </cell>
          <cell r="GE54">
            <v>0</v>
          </cell>
          <cell r="GF54">
            <v>0</v>
          </cell>
          <cell r="GG54">
            <v>0</v>
          </cell>
          <cell r="GH54">
            <v>0</v>
          </cell>
          <cell r="GI54">
            <v>0</v>
          </cell>
          <cell r="GJ54" t="str">
            <v>nd</v>
          </cell>
          <cell r="GK54" t="str">
            <v>nd</v>
          </cell>
          <cell r="GL54">
            <v>0</v>
          </cell>
          <cell r="GM54">
            <v>0</v>
          </cell>
          <cell r="GN54">
            <v>0</v>
          </cell>
          <cell r="GO54">
            <v>6.3989615000000004</v>
          </cell>
          <cell r="GP54">
            <v>21.722538499999999</v>
          </cell>
          <cell r="GQ54">
            <v>16.2683465</v>
          </cell>
          <cell r="GR54">
            <v>0</v>
          </cell>
          <cell r="GS54">
            <v>0</v>
          </cell>
          <cell r="GT54">
            <v>0</v>
          </cell>
          <cell r="GU54" t="str">
            <v>nd</v>
          </cell>
          <cell r="GV54">
            <v>18.9379624</v>
          </cell>
          <cell r="GW54">
            <v>23.588434799999998</v>
          </cell>
          <cell r="GX54">
            <v>0</v>
          </cell>
          <cell r="GY54">
            <v>0</v>
          </cell>
          <cell r="GZ54">
            <v>0</v>
          </cell>
          <cell r="HA54">
            <v>0</v>
          </cell>
          <cell r="HB54">
            <v>8.7100841999999989</v>
          </cell>
          <cell r="HC54" t="str">
            <v>nd</v>
          </cell>
          <cell r="HD54">
            <v>0</v>
          </cell>
          <cell r="HE54">
            <v>0</v>
          </cell>
          <cell r="HF54">
            <v>0</v>
          </cell>
          <cell r="HG54">
            <v>0</v>
          </cell>
          <cell r="HH54">
            <v>0</v>
          </cell>
          <cell r="HI54">
            <v>0</v>
          </cell>
          <cell r="HJ54">
            <v>0</v>
          </cell>
          <cell r="HK54">
            <v>0</v>
          </cell>
          <cell r="HL54">
            <v>0</v>
          </cell>
          <cell r="HM54" t="str">
            <v>nd</v>
          </cell>
          <cell r="HN54">
            <v>0</v>
          </cell>
          <cell r="HO54">
            <v>0</v>
          </cell>
          <cell r="HP54">
            <v>0</v>
          </cell>
          <cell r="HQ54">
            <v>0</v>
          </cell>
          <cell r="HR54" t="str">
            <v>nd</v>
          </cell>
          <cell r="HS54">
            <v>40.887718200000002</v>
          </cell>
          <cell r="HT54">
            <v>0</v>
          </cell>
          <cell r="HU54">
            <v>0</v>
          </cell>
          <cell r="HV54">
            <v>0</v>
          </cell>
          <cell r="HW54">
            <v>0</v>
          </cell>
          <cell r="HX54" t="str">
            <v>nd</v>
          </cell>
          <cell r="HY54">
            <v>30.4769626</v>
          </cell>
          <cell r="HZ54">
            <v>11.3721461</v>
          </cell>
          <cell r="IA54">
            <v>0</v>
          </cell>
          <cell r="IB54">
            <v>0</v>
          </cell>
          <cell r="IC54">
            <v>0</v>
          </cell>
          <cell r="ID54">
            <v>4.4772999999999996</v>
          </cell>
          <cell r="IE54" t="str">
            <v>nd</v>
          </cell>
          <cell r="IF54" t="str">
            <v>nd</v>
          </cell>
          <cell r="IG54">
            <v>0</v>
          </cell>
          <cell r="IH54">
            <v>0</v>
          </cell>
          <cell r="II54">
            <v>0</v>
          </cell>
          <cell r="IJ54">
            <v>0</v>
          </cell>
          <cell r="IK54">
            <v>0</v>
          </cell>
          <cell r="IL54">
            <v>0</v>
          </cell>
          <cell r="IM54">
            <v>0</v>
          </cell>
          <cell r="IN54">
            <v>0</v>
          </cell>
          <cell r="IO54">
            <v>0</v>
          </cell>
          <cell r="IP54" t="str">
            <v>nd</v>
          </cell>
          <cell r="IQ54">
            <v>0</v>
          </cell>
          <cell r="IR54">
            <v>0</v>
          </cell>
          <cell r="IS54">
            <v>0</v>
          </cell>
          <cell r="IT54">
            <v>0</v>
          </cell>
          <cell r="IU54">
            <v>3.2451800000000004</v>
          </cell>
          <cell r="IV54">
            <v>40.637067799999997</v>
          </cell>
          <cell r="IW54" t="str">
            <v>nd</v>
          </cell>
          <cell r="IX54">
            <v>0</v>
          </cell>
          <cell r="IY54">
            <v>0</v>
          </cell>
          <cell r="IZ54">
            <v>0</v>
          </cell>
          <cell r="JA54" t="str">
            <v>nd</v>
          </cell>
          <cell r="JB54">
            <v>29.018902600000001</v>
          </cell>
          <cell r="JC54">
            <v>13.6840189</v>
          </cell>
          <cell r="JD54">
            <v>0</v>
          </cell>
          <cell r="JE54">
            <v>0</v>
          </cell>
          <cell r="JF54">
            <v>0</v>
          </cell>
          <cell r="JG54" t="str">
            <v>nd</v>
          </cell>
          <cell r="JH54">
            <v>7.5574925000000004</v>
          </cell>
          <cell r="JI54" t="str">
            <v>nd</v>
          </cell>
          <cell r="JJ54">
            <v>0</v>
          </cell>
          <cell r="JK54">
            <v>0</v>
          </cell>
          <cell r="JL54">
            <v>0</v>
          </cell>
          <cell r="JM54">
            <v>0</v>
          </cell>
          <cell r="JN54">
            <v>0</v>
          </cell>
          <cell r="JO54">
            <v>0</v>
          </cell>
          <cell r="JP54">
            <v>0</v>
          </cell>
          <cell r="JQ54">
            <v>0</v>
          </cell>
          <cell r="JR54">
            <v>0</v>
          </cell>
          <cell r="JS54" t="str">
            <v>nd</v>
          </cell>
          <cell r="JT54" t="str">
            <v>nd</v>
          </cell>
          <cell r="JU54">
            <v>0</v>
          </cell>
          <cell r="JV54">
            <v>0</v>
          </cell>
          <cell r="JW54">
            <v>0</v>
          </cell>
          <cell r="JX54">
            <v>0</v>
          </cell>
          <cell r="JY54">
            <v>0</v>
          </cell>
          <cell r="JZ54">
            <v>44.250671000000004</v>
          </cell>
          <cell r="KA54">
            <v>0</v>
          </cell>
          <cell r="KB54">
            <v>0</v>
          </cell>
          <cell r="KC54">
            <v>0</v>
          </cell>
          <cell r="KD54">
            <v>0</v>
          </cell>
          <cell r="KE54">
            <v>0</v>
          </cell>
          <cell r="KF54">
            <v>43.431763199999999</v>
          </cell>
          <cell r="KG54">
            <v>0</v>
          </cell>
          <cell r="KH54">
            <v>0</v>
          </cell>
          <cell r="KI54">
            <v>0</v>
          </cell>
          <cell r="KJ54">
            <v>0</v>
          </cell>
          <cell r="KK54">
            <v>0</v>
          </cell>
          <cell r="KL54">
            <v>11.483338399999999</v>
          </cell>
          <cell r="KM54">
            <v>77.8</v>
          </cell>
          <cell r="KN54">
            <v>7.8</v>
          </cell>
          <cell r="KO54">
            <v>3.4000000000000004</v>
          </cell>
          <cell r="KP54">
            <v>5.0999999999999996</v>
          </cell>
          <cell r="KQ54">
            <v>5.8000000000000007</v>
          </cell>
          <cell r="KR54">
            <v>0</v>
          </cell>
          <cell r="KS54">
            <v>76.2</v>
          </cell>
          <cell r="KT54">
            <v>8.6</v>
          </cell>
          <cell r="KU54">
            <v>3.6999999999999997</v>
          </cell>
          <cell r="KV54">
            <v>5.5</v>
          </cell>
          <cell r="KW54">
            <v>6</v>
          </cell>
          <cell r="KX54">
            <v>0</v>
          </cell>
          <cell r="KY54"/>
          <cell r="KZ54"/>
          <cell r="LA54"/>
          <cell r="LB54"/>
          <cell r="LC54"/>
          <cell r="LD54"/>
          <cell r="LE54"/>
          <cell r="LF54"/>
          <cell r="LG54"/>
          <cell r="LH54"/>
          <cell r="LI54"/>
          <cell r="LJ54"/>
          <cell r="LK54"/>
          <cell r="LL54"/>
          <cell r="LM54"/>
          <cell r="LN54"/>
          <cell r="LO54"/>
        </row>
        <row r="55">
          <cell r="A55" t="str">
            <v>6FZ</v>
          </cell>
          <cell r="B55" t="str">
            <v>55</v>
          </cell>
          <cell r="C55" t="str">
            <v>NAF 17</v>
          </cell>
          <cell r="D55" t="str">
            <v>FZ</v>
          </cell>
          <cell r="E55" t="str">
            <v>6</v>
          </cell>
          <cell r="F55">
            <v>0</v>
          </cell>
          <cell r="G55">
            <v>16.2</v>
          </cell>
          <cell r="H55">
            <v>38.4</v>
          </cell>
          <cell r="I55">
            <v>24.7</v>
          </cell>
          <cell r="J55">
            <v>20.8</v>
          </cell>
          <cell r="K55">
            <v>70.3</v>
          </cell>
          <cell r="L55">
            <v>7.3</v>
          </cell>
          <cell r="M55">
            <v>11.200000000000001</v>
          </cell>
          <cell r="N55">
            <v>11.200000000000001</v>
          </cell>
          <cell r="O55">
            <v>26.8</v>
          </cell>
          <cell r="P55">
            <v>32.300000000000004</v>
          </cell>
          <cell r="Q55">
            <v>17.100000000000001</v>
          </cell>
          <cell r="R55">
            <v>10.7</v>
          </cell>
          <cell r="S55">
            <v>7.6</v>
          </cell>
          <cell r="T55">
            <v>26.6</v>
          </cell>
          <cell r="U55">
            <v>2</v>
          </cell>
          <cell r="V55">
            <v>32.700000000000003</v>
          </cell>
          <cell r="W55">
            <v>19</v>
          </cell>
          <cell r="X55">
            <v>79.3</v>
          </cell>
          <cell r="Y55">
            <v>1.7000000000000002</v>
          </cell>
          <cell r="Z55" t="str">
            <v>nd</v>
          </cell>
          <cell r="AA55">
            <v>65.8</v>
          </cell>
          <cell r="AB55">
            <v>0</v>
          </cell>
          <cell r="AC55">
            <v>74.2</v>
          </cell>
          <cell r="AD55" t="str">
            <v>nd</v>
          </cell>
          <cell r="AE55">
            <v>86.6</v>
          </cell>
          <cell r="AF55">
            <v>13.4</v>
          </cell>
          <cell r="AG55">
            <v>82.8</v>
          </cell>
          <cell r="AH55">
            <v>17.2</v>
          </cell>
          <cell r="AI55">
            <v>31.1</v>
          </cell>
          <cell r="AJ55">
            <v>5.2</v>
          </cell>
          <cell r="AK55">
            <v>4.5999999999999996</v>
          </cell>
          <cell r="AL55">
            <v>41.4</v>
          </cell>
          <cell r="AM55">
            <v>17.7</v>
          </cell>
          <cell r="AN55" t="str">
            <v>nd</v>
          </cell>
          <cell r="AO55" t="str">
            <v>nd</v>
          </cell>
          <cell r="AP55" t="str">
            <v>nd</v>
          </cell>
          <cell r="AQ55">
            <v>61.199999999999996</v>
          </cell>
          <cell r="AR55">
            <v>29.599999999999998</v>
          </cell>
          <cell r="AS55">
            <v>77.8</v>
          </cell>
          <cell r="AT55">
            <v>17.299999999999997</v>
          </cell>
          <cell r="AU55">
            <v>1.9</v>
          </cell>
          <cell r="AV55">
            <v>0.5</v>
          </cell>
          <cell r="AW55" t="str">
            <v>nd</v>
          </cell>
          <cell r="AX55" t="str">
            <v>nd</v>
          </cell>
          <cell r="AY55" t="str">
            <v>nd</v>
          </cell>
          <cell r="AZ55">
            <v>0.8</v>
          </cell>
          <cell r="BA55">
            <v>2.7</v>
          </cell>
          <cell r="BB55">
            <v>18.7</v>
          </cell>
          <cell r="BC55">
            <v>63.9</v>
          </cell>
          <cell r="BD55">
            <v>12.1</v>
          </cell>
          <cell r="BE55" t="str">
            <v>nd</v>
          </cell>
          <cell r="BF55">
            <v>0</v>
          </cell>
          <cell r="BG55">
            <v>0</v>
          </cell>
          <cell r="BH55" t="str">
            <v>nd</v>
          </cell>
          <cell r="BI55">
            <v>62.1</v>
          </cell>
          <cell r="BJ55">
            <v>36.700000000000003</v>
          </cell>
          <cell r="BK55" t="str">
            <v>nd</v>
          </cell>
          <cell r="BL55">
            <v>0</v>
          </cell>
          <cell r="BM55">
            <v>0</v>
          </cell>
          <cell r="BN55">
            <v>2.1</v>
          </cell>
          <cell r="BO55">
            <v>92.800000000000011</v>
          </cell>
          <cell r="BP55">
            <v>4.1000000000000005</v>
          </cell>
          <cell r="BQ55">
            <v>0</v>
          </cell>
          <cell r="BR55" t="str">
            <v>nd</v>
          </cell>
          <cell r="BS55">
            <v>0</v>
          </cell>
          <cell r="BT55">
            <v>1.0999999999999999</v>
          </cell>
          <cell r="BU55">
            <v>77.100000000000009</v>
          </cell>
          <cell r="BV55">
            <v>20.9</v>
          </cell>
          <cell r="BW55">
            <v>0</v>
          </cell>
          <cell r="BX55">
            <v>0</v>
          </cell>
          <cell r="BY55">
            <v>0</v>
          </cell>
          <cell r="BZ55" t="str">
            <v>nd</v>
          </cell>
          <cell r="CA55">
            <v>0</v>
          </cell>
          <cell r="CB55">
            <v>99.1</v>
          </cell>
          <cell r="CC55">
            <v>5.6000000000000005</v>
          </cell>
          <cell r="CD55">
            <v>18</v>
          </cell>
          <cell r="CE55">
            <v>6.7</v>
          </cell>
          <cell r="CF55">
            <v>7.8</v>
          </cell>
          <cell r="CG55" t="str">
            <v>nd</v>
          </cell>
          <cell r="CH55">
            <v>18.7</v>
          </cell>
          <cell r="CI55">
            <v>5.5</v>
          </cell>
          <cell r="CJ55">
            <v>70.399999999999991</v>
          </cell>
          <cell r="CK55">
            <v>60.099999999999994</v>
          </cell>
          <cell r="CL55">
            <v>20.599999999999998</v>
          </cell>
          <cell r="CM55" t="str">
            <v>nd</v>
          </cell>
          <cell r="CN55">
            <v>0</v>
          </cell>
          <cell r="CO55">
            <v>36.199999999999996</v>
          </cell>
          <cell r="CP55">
            <v>0.4</v>
          </cell>
          <cell r="CQ55">
            <v>46.7</v>
          </cell>
          <cell r="CR55">
            <v>31.6</v>
          </cell>
          <cell r="CS55">
            <v>21.3</v>
          </cell>
          <cell r="CT55">
            <v>6.8000000000000007</v>
          </cell>
          <cell r="CU55">
            <v>93.2</v>
          </cell>
          <cell r="CV55">
            <v>10.299999999999999</v>
          </cell>
          <cell r="CW55">
            <v>89.7</v>
          </cell>
          <cell r="CX55">
            <v>13.4</v>
          </cell>
          <cell r="CY55">
            <v>41.3</v>
          </cell>
          <cell r="CZ55">
            <v>45.300000000000004</v>
          </cell>
          <cell r="DA55">
            <v>14.000000000000002</v>
          </cell>
          <cell r="DB55">
            <v>0</v>
          </cell>
          <cell r="DC55">
            <v>0</v>
          </cell>
          <cell r="DD55" t="str">
            <v>nd</v>
          </cell>
          <cell r="DE55">
            <v>89.7</v>
          </cell>
          <cell r="DF55">
            <v>6.5</v>
          </cell>
          <cell r="DG55">
            <v>28.299999999999997</v>
          </cell>
          <cell r="DH55">
            <v>11.200000000000001</v>
          </cell>
          <cell r="DI55">
            <v>12.9</v>
          </cell>
          <cell r="DJ55">
            <v>22.7</v>
          </cell>
          <cell r="DK55">
            <v>18.399999999999999</v>
          </cell>
          <cell r="DL55">
            <v>5.0999999999999996</v>
          </cell>
          <cell r="DM55">
            <v>38.299999999999997</v>
          </cell>
          <cell r="DN55">
            <v>8.1</v>
          </cell>
          <cell r="DO55">
            <v>35.6</v>
          </cell>
          <cell r="DP55">
            <v>5</v>
          </cell>
          <cell r="DQ55" t="str">
            <v>nd</v>
          </cell>
          <cell r="DR55">
            <v>13.700000000000001</v>
          </cell>
          <cell r="DS55">
            <v>30.2</v>
          </cell>
          <cell r="DT55">
            <v>34.5</v>
          </cell>
          <cell r="DU55">
            <v>0</v>
          </cell>
          <cell r="DV55">
            <v>0</v>
          </cell>
          <cell r="DW55">
            <v>0</v>
          </cell>
          <cell r="DX55">
            <v>0</v>
          </cell>
          <cell r="DY55">
            <v>0</v>
          </cell>
          <cell r="DZ55" t="str">
            <v>nd</v>
          </cell>
          <cell r="EA55">
            <v>1.7715000000000001</v>
          </cell>
          <cell r="EB55" t="str">
            <v>nd</v>
          </cell>
          <cell r="EC55">
            <v>0</v>
          </cell>
          <cell r="ED55">
            <v>0</v>
          </cell>
          <cell r="EE55">
            <v>0</v>
          </cell>
          <cell r="EF55">
            <v>24.801879800000002</v>
          </cell>
          <cell r="EG55">
            <v>10.424127499999999</v>
          </cell>
          <cell r="EH55">
            <v>1.6061800000000002</v>
          </cell>
          <cell r="EI55">
            <v>0.52964199999999995</v>
          </cell>
          <cell r="EJ55" t="str">
            <v>nd</v>
          </cell>
          <cell r="EK55">
            <v>0</v>
          </cell>
          <cell r="EL55">
            <v>19.03303</v>
          </cell>
          <cell r="EM55" t="str">
            <v>nd</v>
          </cell>
          <cell r="EN55">
            <v>0</v>
          </cell>
          <cell r="EO55">
            <v>0</v>
          </cell>
          <cell r="EP55" t="str">
            <v>nd</v>
          </cell>
          <cell r="EQ55" t="str">
            <v>nd</v>
          </cell>
          <cell r="ER55">
            <v>20.011302300000001</v>
          </cell>
          <cell r="ES55" t="str">
            <v>nd</v>
          </cell>
          <cell r="ET55">
            <v>0</v>
          </cell>
          <cell r="EU55">
            <v>0</v>
          </cell>
          <cell r="EV55">
            <v>0</v>
          </cell>
          <cell r="EW55" t="str">
            <v>nd</v>
          </cell>
          <cell r="EX55">
            <v>0</v>
          </cell>
          <cell r="EY55">
            <v>0</v>
          </cell>
          <cell r="EZ55">
            <v>0</v>
          </cell>
          <cell r="FA55">
            <v>0</v>
          </cell>
          <cell r="FB55">
            <v>0</v>
          </cell>
          <cell r="FC55">
            <v>0</v>
          </cell>
          <cell r="FD55" t="str">
            <v>nd</v>
          </cell>
          <cell r="FE55" t="str">
            <v>nd</v>
          </cell>
          <cell r="FF55" t="str">
            <v>nd</v>
          </cell>
          <cell r="FG55">
            <v>14.526871699999999</v>
          </cell>
          <cell r="FH55">
            <v>0</v>
          </cell>
          <cell r="FI55" t="str">
            <v>nd</v>
          </cell>
          <cell r="FJ55">
            <v>0.44786599999999999</v>
          </cell>
          <cell r="FK55">
            <v>2.1735199999999999</v>
          </cell>
          <cell r="FL55">
            <v>3.6267</v>
          </cell>
          <cell r="FM55">
            <v>24.832435199999999</v>
          </cell>
          <cell r="FN55">
            <v>6.1541300000000003</v>
          </cell>
          <cell r="FO55" t="str">
            <v>nd</v>
          </cell>
          <cell r="FP55">
            <v>0</v>
          </cell>
          <cell r="FQ55">
            <v>0</v>
          </cell>
          <cell r="FR55">
            <v>5.9238499999999998</v>
          </cell>
          <cell r="FS55">
            <v>12.291070599999999</v>
          </cell>
          <cell r="FT55">
            <v>5.5170700000000004</v>
          </cell>
          <cell r="FU55">
            <v>0</v>
          </cell>
          <cell r="FV55">
            <v>0</v>
          </cell>
          <cell r="FW55" t="str">
            <v>nd</v>
          </cell>
          <cell r="FX55">
            <v>8.2564910000000005</v>
          </cell>
          <cell r="FY55">
            <v>12.275606099999999</v>
          </cell>
          <cell r="FZ55" t="str">
            <v>nd</v>
          </cell>
          <cell r="GA55">
            <v>0</v>
          </cell>
          <cell r="GB55">
            <v>0</v>
          </cell>
          <cell r="GC55">
            <v>0</v>
          </cell>
          <cell r="GD55">
            <v>0</v>
          </cell>
          <cell r="GE55">
            <v>0</v>
          </cell>
          <cell r="GF55">
            <v>0</v>
          </cell>
          <cell r="GG55">
            <v>0</v>
          </cell>
          <cell r="GH55">
            <v>0</v>
          </cell>
          <cell r="GI55">
            <v>0</v>
          </cell>
          <cell r="GJ55">
            <v>15.746509700000001</v>
          </cell>
          <cell r="GK55" t="str">
            <v>nd</v>
          </cell>
          <cell r="GL55" t="str">
            <v>nd</v>
          </cell>
          <cell r="GM55">
            <v>0</v>
          </cell>
          <cell r="GN55">
            <v>0</v>
          </cell>
          <cell r="GO55" t="str">
            <v>nd</v>
          </cell>
          <cell r="GP55">
            <v>20.0513634</v>
          </cell>
          <cell r="GQ55">
            <v>17.437771599999998</v>
          </cell>
          <cell r="GR55">
            <v>0</v>
          </cell>
          <cell r="GS55">
            <v>0</v>
          </cell>
          <cell r="GT55">
            <v>0</v>
          </cell>
          <cell r="GU55" t="str">
            <v>nd</v>
          </cell>
          <cell r="GV55">
            <v>16.616635199999997</v>
          </cell>
          <cell r="GW55">
            <v>7.9044457999999995</v>
          </cell>
          <cell r="GX55">
            <v>0</v>
          </cell>
          <cell r="GY55">
            <v>0</v>
          </cell>
          <cell r="GZ55">
            <v>0</v>
          </cell>
          <cell r="HA55">
            <v>0</v>
          </cell>
          <cell r="HB55">
            <v>9.6481615999999999</v>
          </cell>
          <cell r="HC55">
            <v>11.1556923</v>
          </cell>
          <cell r="HD55">
            <v>0</v>
          </cell>
          <cell r="HE55">
            <v>0</v>
          </cell>
          <cell r="HF55">
            <v>0</v>
          </cell>
          <cell r="HG55">
            <v>0</v>
          </cell>
          <cell r="HH55">
            <v>0</v>
          </cell>
          <cell r="HI55">
            <v>0</v>
          </cell>
          <cell r="HJ55">
            <v>0</v>
          </cell>
          <cell r="HK55">
            <v>0</v>
          </cell>
          <cell r="HL55">
            <v>0</v>
          </cell>
          <cell r="HM55">
            <v>15.857709100000001</v>
          </cell>
          <cell r="HN55" t="str">
            <v>nd</v>
          </cell>
          <cell r="HO55" t="str">
            <v>nd</v>
          </cell>
          <cell r="HP55">
            <v>0</v>
          </cell>
          <cell r="HQ55">
            <v>0</v>
          </cell>
          <cell r="HR55" t="str">
            <v>nd</v>
          </cell>
          <cell r="HS55">
            <v>33.237790599999997</v>
          </cell>
          <cell r="HT55">
            <v>3.2960099999999999</v>
          </cell>
          <cell r="HU55">
            <v>0</v>
          </cell>
          <cell r="HV55">
            <v>0</v>
          </cell>
          <cell r="HW55">
            <v>0</v>
          </cell>
          <cell r="HX55">
            <v>1.5565100000000001</v>
          </cell>
          <cell r="HY55">
            <v>22.341631899999999</v>
          </cell>
          <cell r="HZ55" t="str">
            <v>nd</v>
          </cell>
          <cell r="IA55">
            <v>0</v>
          </cell>
          <cell r="IB55">
            <v>0</v>
          </cell>
          <cell r="IC55">
            <v>0</v>
          </cell>
          <cell r="ID55">
            <v>0</v>
          </cell>
          <cell r="IE55">
            <v>21.3444769</v>
          </cell>
          <cell r="IF55">
            <v>0</v>
          </cell>
          <cell r="IG55">
            <v>0</v>
          </cell>
          <cell r="IH55">
            <v>0</v>
          </cell>
          <cell r="II55">
            <v>0</v>
          </cell>
          <cell r="IJ55">
            <v>0</v>
          </cell>
          <cell r="IK55">
            <v>0</v>
          </cell>
          <cell r="IL55">
            <v>0</v>
          </cell>
          <cell r="IM55">
            <v>0</v>
          </cell>
          <cell r="IN55">
            <v>0</v>
          </cell>
          <cell r="IO55" t="str">
            <v>nd</v>
          </cell>
          <cell r="IP55">
            <v>14.815602499999999</v>
          </cell>
          <cell r="IQ55">
            <v>0.88550999999999991</v>
          </cell>
          <cell r="IR55">
            <v>0</v>
          </cell>
          <cell r="IS55" t="str">
            <v>nd</v>
          </cell>
          <cell r="IT55">
            <v>0</v>
          </cell>
          <cell r="IU55" t="str">
            <v>nd</v>
          </cell>
          <cell r="IV55">
            <v>23.761304499999998</v>
          </cell>
          <cell r="IW55">
            <v>12.995715599999999</v>
          </cell>
          <cell r="IX55">
            <v>0</v>
          </cell>
          <cell r="IY55">
            <v>0</v>
          </cell>
          <cell r="IZ55">
            <v>0</v>
          </cell>
          <cell r="JA55">
            <v>0.444909</v>
          </cell>
          <cell r="JB55">
            <v>22.339851100000001</v>
          </cell>
          <cell r="JC55">
            <v>1.8262400000000001</v>
          </cell>
          <cell r="JD55">
            <v>0</v>
          </cell>
          <cell r="JE55">
            <v>0</v>
          </cell>
          <cell r="JF55">
            <v>0</v>
          </cell>
          <cell r="JG55">
            <v>0</v>
          </cell>
          <cell r="JH55">
            <v>16.196108800000001</v>
          </cell>
          <cell r="JI55">
            <v>5.1488100000000001</v>
          </cell>
          <cell r="JJ55">
            <v>0</v>
          </cell>
          <cell r="JK55">
            <v>0</v>
          </cell>
          <cell r="JL55">
            <v>0</v>
          </cell>
          <cell r="JM55">
            <v>0</v>
          </cell>
          <cell r="JN55">
            <v>0</v>
          </cell>
          <cell r="JO55">
            <v>0</v>
          </cell>
          <cell r="JP55">
            <v>0</v>
          </cell>
          <cell r="JQ55">
            <v>0</v>
          </cell>
          <cell r="JR55">
            <v>0</v>
          </cell>
          <cell r="JS55">
            <v>0</v>
          </cell>
          <cell r="JT55">
            <v>15.898446699999999</v>
          </cell>
          <cell r="JU55">
            <v>0</v>
          </cell>
          <cell r="JV55">
            <v>0</v>
          </cell>
          <cell r="JW55">
            <v>0</v>
          </cell>
          <cell r="JX55" t="str">
            <v>nd</v>
          </cell>
          <cell r="JY55">
            <v>0</v>
          </cell>
          <cell r="JZ55">
            <v>37.399824199999998</v>
          </cell>
          <cell r="KA55">
            <v>0</v>
          </cell>
          <cell r="KB55">
            <v>0</v>
          </cell>
          <cell r="KC55">
            <v>0</v>
          </cell>
          <cell r="KD55">
            <v>0</v>
          </cell>
          <cell r="KE55">
            <v>0</v>
          </cell>
          <cell r="KF55">
            <v>24.446718400000002</v>
          </cell>
          <cell r="KG55">
            <v>0</v>
          </cell>
          <cell r="KH55">
            <v>0</v>
          </cell>
          <cell r="KI55">
            <v>0</v>
          </cell>
          <cell r="KJ55">
            <v>0</v>
          </cell>
          <cell r="KK55">
            <v>0</v>
          </cell>
          <cell r="KL55">
            <v>21.3110386</v>
          </cell>
          <cell r="KM55">
            <v>75.8</v>
          </cell>
          <cell r="KN55">
            <v>8.6</v>
          </cell>
          <cell r="KO55">
            <v>5.3</v>
          </cell>
          <cell r="KP55">
            <v>5.7</v>
          </cell>
          <cell r="KQ55">
            <v>4.5</v>
          </cell>
          <cell r="KR55">
            <v>0</v>
          </cell>
          <cell r="KS55">
            <v>74.599999999999994</v>
          </cell>
          <cell r="KT55">
            <v>9.7000000000000011</v>
          </cell>
          <cell r="KU55">
            <v>5.2</v>
          </cell>
          <cell r="KV55">
            <v>5.8000000000000007</v>
          </cell>
          <cell r="KW55">
            <v>4.5</v>
          </cell>
          <cell r="KX55">
            <v>0.1</v>
          </cell>
          <cell r="KY55"/>
          <cell r="KZ55"/>
          <cell r="LA55"/>
          <cell r="LB55"/>
          <cell r="LC55"/>
          <cell r="LD55"/>
          <cell r="LE55"/>
          <cell r="LF55"/>
          <cell r="LG55"/>
          <cell r="LH55"/>
          <cell r="LI55"/>
          <cell r="LJ55"/>
          <cell r="LK55"/>
          <cell r="LL55"/>
          <cell r="LM55"/>
          <cell r="LN55"/>
          <cell r="LO55"/>
        </row>
        <row r="56">
          <cell r="A56" t="str">
            <v>EnsGZ</v>
          </cell>
          <cell r="B56" t="str">
            <v>56</v>
          </cell>
          <cell r="C56" t="str">
            <v>NAF 17</v>
          </cell>
          <cell r="D56" t="str">
            <v>GZ</v>
          </cell>
          <cell r="E56" t="str">
            <v/>
          </cell>
          <cell r="F56">
            <v>0.4</v>
          </cell>
          <cell r="G56">
            <v>4.3999999999999995</v>
          </cell>
          <cell r="H56">
            <v>35.199999999999996</v>
          </cell>
          <cell r="I56">
            <v>38</v>
          </cell>
          <cell r="J56">
            <v>22</v>
          </cell>
          <cell r="K56">
            <v>52.800000000000004</v>
          </cell>
          <cell r="L56">
            <v>11.899999999999999</v>
          </cell>
          <cell r="M56">
            <v>10.7</v>
          </cell>
          <cell r="N56">
            <v>24.6</v>
          </cell>
          <cell r="O56">
            <v>30.7</v>
          </cell>
          <cell r="P56">
            <v>31.5</v>
          </cell>
          <cell r="Q56">
            <v>23</v>
          </cell>
          <cell r="R56">
            <v>11.600000000000001</v>
          </cell>
          <cell r="S56">
            <v>23.599999999999998</v>
          </cell>
          <cell r="T56">
            <v>23.400000000000002</v>
          </cell>
          <cell r="U56">
            <v>4.5</v>
          </cell>
          <cell r="V56">
            <v>20.8</v>
          </cell>
          <cell r="W56">
            <v>11.3</v>
          </cell>
          <cell r="X56">
            <v>72</v>
          </cell>
          <cell r="Y56">
            <v>16.8</v>
          </cell>
          <cell r="Z56">
            <v>8.5</v>
          </cell>
          <cell r="AA56">
            <v>56.599999999999994</v>
          </cell>
          <cell r="AB56">
            <v>10.4</v>
          </cell>
          <cell r="AC56">
            <v>46.2</v>
          </cell>
          <cell r="AD56">
            <v>22.6</v>
          </cell>
          <cell r="AE56">
            <v>58.599999999999994</v>
          </cell>
          <cell r="AF56">
            <v>41.4</v>
          </cell>
          <cell r="AG56">
            <v>73.5</v>
          </cell>
          <cell r="AH56">
            <v>26.5</v>
          </cell>
          <cell r="AI56">
            <v>31.4</v>
          </cell>
          <cell r="AJ56">
            <v>4.3</v>
          </cell>
          <cell r="AK56">
            <v>3.1</v>
          </cell>
          <cell r="AL56">
            <v>51.9</v>
          </cell>
          <cell r="AM56">
            <v>9.3000000000000007</v>
          </cell>
          <cell r="AN56">
            <v>5.7</v>
          </cell>
          <cell r="AO56">
            <v>1.5</v>
          </cell>
          <cell r="AP56">
            <v>3.1</v>
          </cell>
          <cell r="AQ56">
            <v>75.900000000000006</v>
          </cell>
          <cell r="AR56">
            <v>13.700000000000001</v>
          </cell>
          <cell r="AS56">
            <v>71.3</v>
          </cell>
          <cell r="AT56">
            <v>10.299999999999999</v>
          </cell>
          <cell r="AU56">
            <v>5.0999999999999996</v>
          </cell>
          <cell r="AV56">
            <v>5.3</v>
          </cell>
          <cell r="AW56">
            <v>2.8000000000000003</v>
          </cell>
          <cell r="AX56">
            <v>5.0999999999999996</v>
          </cell>
          <cell r="AY56">
            <v>5.2</v>
          </cell>
          <cell r="AZ56">
            <v>4.7</v>
          </cell>
          <cell r="BA56">
            <v>5.5</v>
          </cell>
          <cell r="BB56">
            <v>9.5</v>
          </cell>
          <cell r="BC56">
            <v>30.599999999999998</v>
          </cell>
          <cell r="BD56">
            <v>44.4</v>
          </cell>
          <cell r="BE56">
            <v>0.89999999999999991</v>
          </cell>
          <cell r="BF56">
            <v>1.0999999999999999</v>
          </cell>
          <cell r="BG56">
            <v>1.6</v>
          </cell>
          <cell r="BH56">
            <v>6.4</v>
          </cell>
          <cell r="BI56">
            <v>36.9</v>
          </cell>
          <cell r="BJ56">
            <v>53.1</v>
          </cell>
          <cell r="BK56">
            <v>0</v>
          </cell>
          <cell r="BL56" t="str">
            <v>nd</v>
          </cell>
          <cell r="BM56">
            <v>0.3</v>
          </cell>
          <cell r="BN56">
            <v>8.6</v>
          </cell>
          <cell r="BO56">
            <v>71.7</v>
          </cell>
          <cell r="BP56">
            <v>19.400000000000002</v>
          </cell>
          <cell r="BQ56" t="str">
            <v>nd</v>
          </cell>
          <cell r="BR56">
            <v>0.1</v>
          </cell>
          <cell r="BS56">
            <v>1.0999999999999999</v>
          </cell>
          <cell r="BT56">
            <v>13.100000000000001</v>
          </cell>
          <cell r="BU56">
            <v>64.400000000000006</v>
          </cell>
          <cell r="BV56">
            <v>21.3</v>
          </cell>
          <cell r="BW56">
            <v>0</v>
          </cell>
          <cell r="BX56">
            <v>0</v>
          </cell>
          <cell r="BY56" t="str">
            <v>nd</v>
          </cell>
          <cell r="BZ56" t="str">
            <v>nd</v>
          </cell>
          <cell r="CA56">
            <v>2.8000000000000003</v>
          </cell>
          <cell r="CB56">
            <v>97.1</v>
          </cell>
          <cell r="CC56">
            <v>26.3</v>
          </cell>
          <cell r="CD56">
            <v>9.8000000000000007</v>
          </cell>
          <cell r="CE56">
            <v>0.8</v>
          </cell>
          <cell r="CF56">
            <v>3.1</v>
          </cell>
          <cell r="CG56">
            <v>0.4</v>
          </cell>
          <cell r="CH56">
            <v>14.399999999999999</v>
          </cell>
          <cell r="CI56">
            <v>6.6000000000000005</v>
          </cell>
          <cell r="CJ56">
            <v>58.599999999999994</v>
          </cell>
          <cell r="CK56">
            <v>27.400000000000002</v>
          </cell>
          <cell r="CL56">
            <v>5.4</v>
          </cell>
          <cell r="CM56">
            <v>2.1999999999999997</v>
          </cell>
          <cell r="CN56">
            <v>1.6</v>
          </cell>
          <cell r="CO56">
            <v>72.2</v>
          </cell>
          <cell r="CP56">
            <v>18</v>
          </cell>
          <cell r="CQ56">
            <v>31.8</v>
          </cell>
          <cell r="CR56">
            <v>16.400000000000002</v>
          </cell>
          <cell r="CS56">
            <v>33.700000000000003</v>
          </cell>
          <cell r="CT56">
            <v>25.7</v>
          </cell>
          <cell r="CU56">
            <v>74.3</v>
          </cell>
          <cell r="CV56">
            <v>33.6</v>
          </cell>
          <cell r="CW56">
            <v>66.400000000000006</v>
          </cell>
          <cell r="CX56">
            <v>45.5</v>
          </cell>
          <cell r="CY56">
            <v>32.4</v>
          </cell>
          <cell r="CZ56">
            <v>22.1</v>
          </cell>
          <cell r="DA56">
            <v>64.3</v>
          </cell>
          <cell r="DB56">
            <v>6.2</v>
          </cell>
          <cell r="DC56">
            <v>22.400000000000002</v>
          </cell>
          <cell r="DD56">
            <v>0.2</v>
          </cell>
          <cell r="DE56">
            <v>43.2</v>
          </cell>
          <cell r="DF56">
            <v>25.900000000000002</v>
          </cell>
          <cell r="DG56">
            <v>5.8000000000000007</v>
          </cell>
          <cell r="DH56">
            <v>12.8</v>
          </cell>
          <cell r="DI56">
            <v>12.8</v>
          </cell>
          <cell r="DJ56">
            <v>19.2</v>
          </cell>
          <cell r="DK56">
            <v>23.599999999999998</v>
          </cell>
          <cell r="DL56">
            <v>21.8</v>
          </cell>
          <cell r="DM56">
            <v>28.9</v>
          </cell>
          <cell r="DN56">
            <v>14.399999999999999</v>
          </cell>
          <cell r="DO56">
            <v>23.5</v>
          </cell>
          <cell r="DP56">
            <v>5</v>
          </cell>
          <cell r="DQ56">
            <v>2.2999999999999998</v>
          </cell>
          <cell r="DR56">
            <v>21.2</v>
          </cell>
          <cell r="DS56">
            <v>29.5</v>
          </cell>
          <cell r="DT56">
            <v>16.600000000000001</v>
          </cell>
          <cell r="DU56">
            <v>0.110758</v>
          </cell>
          <cell r="DV56" t="str">
            <v>nd</v>
          </cell>
          <cell r="DW56">
            <v>0</v>
          </cell>
          <cell r="DX56">
            <v>0</v>
          </cell>
          <cell r="DY56">
            <v>0.28933700000000001</v>
          </cell>
          <cell r="DZ56">
            <v>1.8321299999999998</v>
          </cell>
          <cell r="EA56">
            <v>0.71962099999999996</v>
          </cell>
          <cell r="EB56">
            <v>0.75732999999999995</v>
          </cell>
          <cell r="EC56">
            <v>0.38780700000000001</v>
          </cell>
          <cell r="ED56">
            <v>0.50812299999999999</v>
          </cell>
          <cell r="EE56">
            <v>0.21944400000000003</v>
          </cell>
          <cell r="EF56">
            <v>21.456244599999998</v>
          </cell>
          <cell r="EG56">
            <v>5.8943099999999999</v>
          </cell>
          <cell r="EH56">
            <v>2.1592199999999999</v>
          </cell>
          <cell r="EI56">
            <v>3.3035299999999999</v>
          </cell>
          <cell r="EJ56">
            <v>1.38893</v>
          </cell>
          <cell r="EK56">
            <v>1.0564799999999999</v>
          </cell>
          <cell r="EL56">
            <v>29.239806600000001</v>
          </cell>
          <cell r="EM56">
            <v>2.2275300000000002</v>
          </cell>
          <cell r="EN56">
            <v>1.84304</v>
          </cell>
          <cell r="EO56">
            <v>1.38558</v>
          </cell>
          <cell r="EP56">
            <v>0.74980100000000005</v>
          </cell>
          <cell r="EQ56">
            <v>2.39663</v>
          </cell>
          <cell r="ER56">
            <v>18.384150699999999</v>
          </cell>
          <cell r="ES56">
            <v>1.5655399999999999</v>
          </cell>
          <cell r="ET56">
            <v>0.45560899999999999</v>
          </cell>
          <cell r="EU56">
            <v>0.35824800000000001</v>
          </cell>
          <cell r="EV56">
            <v>0.13398599999999999</v>
          </cell>
          <cell r="EW56">
            <v>1.1727100000000001</v>
          </cell>
          <cell r="EX56">
            <v>0</v>
          </cell>
          <cell r="EY56">
            <v>0.19193700000000002</v>
          </cell>
          <cell r="EZ56">
            <v>0</v>
          </cell>
          <cell r="FA56" t="str">
            <v>nd</v>
          </cell>
          <cell r="FB56">
            <v>0.22828300000000001</v>
          </cell>
          <cell r="FC56">
            <v>0.108434</v>
          </cell>
          <cell r="FD56">
            <v>0.31494</v>
          </cell>
          <cell r="FE56">
            <v>0.42495500000000003</v>
          </cell>
          <cell r="FF56">
            <v>0.47495100000000001</v>
          </cell>
          <cell r="FG56">
            <v>1.18069</v>
          </cell>
          <cell r="FH56">
            <v>1.9897399999999998</v>
          </cell>
          <cell r="FI56">
            <v>1.9282299999999999</v>
          </cell>
          <cell r="FJ56">
            <v>2.2241200000000001</v>
          </cell>
          <cell r="FK56">
            <v>2.4929099999999997</v>
          </cell>
          <cell r="FL56">
            <v>2.9119600000000001</v>
          </cell>
          <cell r="FM56">
            <v>16.073185300000002</v>
          </cell>
          <cell r="FN56">
            <v>9.5567889000000008</v>
          </cell>
          <cell r="FO56">
            <v>3.0444599999999999</v>
          </cell>
          <cell r="FP56">
            <v>1.13968</v>
          </cell>
          <cell r="FQ56">
            <v>2.2052200000000002</v>
          </cell>
          <cell r="FR56">
            <v>2.0254099999999999</v>
          </cell>
          <cell r="FS56">
            <v>8.1773349</v>
          </cell>
          <cell r="FT56">
            <v>21.5057136</v>
          </cell>
          <cell r="FU56">
            <v>0.17039799999999999</v>
          </cell>
          <cell r="FV56">
            <v>1.05355</v>
          </cell>
          <cell r="FW56">
            <v>0.53243199999999991</v>
          </cell>
          <cell r="FX56">
            <v>3.75177</v>
          </cell>
          <cell r="FY56">
            <v>5.1549800000000001</v>
          </cell>
          <cell r="FZ56">
            <v>11.114047000000001</v>
          </cell>
          <cell r="GA56">
            <v>0.30322399999999999</v>
          </cell>
          <cell r="GB56" t="str">
            <v>nd</v>
          </cell>
          <cell r="GC56">
            <v>0</v>
          </cell>
          <cell r="GD56">
            <v>0</v>
          </cell>
          <cell r="GE56">
            <v>0.11183700000000001</v>
          </cell>
          <cell r="GF56">
            <v>0.33371899999999999</v>
          </cell>
          <cell r="GG56">
            <v>0.258741</v>
          </cell>
          <cell r="GH56">
            <v>0.510328</v>
          </cell>
          <cell r="GI56">
            <v>0.65057500000000001</v>
          </cell>
          <cell r="GJ56">
            <v>1.2906199999999999</v>
          </cell>
          <cell r="GK56">
            <v>1.43862</v>
          </cell>
          <cell r="GL56">
            <v>0.186918</v>
          </cell>
          <cell r="GM56">
            <v>0.62680199999999997</v>
          </cell>
          <cell r="GN56">
            <v>0.95219999999999994</v>
          </cell>
          <cell r="GO56">
            <v>4.2816000000000001</v>
          </cell>
          <cell r="GP56">
            <v>11.530243</v>
          </cell>
          <cell r="GQ56">
            <v>17.608898</v>
          </cell>
          <cell r="GR56" t="str">
            <v>nd</v>
          </cell>
          <cell r="GS56" t="str">
            <v>nd</v>
          </cell>
          <cell r="GT56" t="str">
            <v>nd</v>
          </cell>
          <cell r="GU56">
            <v>0.56599199999999994</v>
          </cell>
          <cell r="GV56">
            <v>13.833094200000001</v>
          </cell>
          <cell r="GW56">
            <v>23.330835099999998</v>
          </cell>
          <cell r="GX56">
            <v>0</v>
          </cell>
          <cell r="GY56" t="str">
            <v>nd</v>
          </cell>
          <cell r="GZ56">
            <v>9.1884599999999997E-2</v>
          </cell>
          <cell r="HA56">
            <v>1.0160199999999999</v>
          </cell>
          <cell r="HB56">
            <v>10.0468887</v>
          </cell>
          <cell r="HC56">
            <v>10.6302766</v>
          </cell>
          <cell r="HD56">
            <v>0</v>
          </cell>
          <cell r="HE56">
            <v>0.33512400000000003</v>
          </cell>
          <cell r="HF56">
            <v>0</v>
          </cell>
          <cell r="HG56">
            <v>0</v>
          </cell>
          <cell r="HH56">
            <v>8.2410800000000006E-2</v>
          </cell>
          <cell r="HI56">
            <v>0</v>
          </cell>
          <cell r="HJ56">
            <v>0</v>
          </cell>
          <cell r="HK56">
            <v>0</v>
          </cell>
          <cell r="HL56">
            <v>0.55484800000000001</v>
          </cell>
          <cell r="HM56">
            <v>2.7618899999999997</v>
          </cell>
          <cell r="HN56">
            <v>1.03159</v>
          </cell>
          <cell r="HO56">
            <v>0</v>
          </cell>
          <cell r="HP56">
            <v>0</v>
          </cell>
          <cell r="HQ56">
            <v>0.113009</v>
          </cell>
          <cell r="HR56">
            <v>2.3282500000000002</v>
          </cell>
          <cell r="HS56">
            <v>26.681934299999998</v>
          </cell>
          <cell r="HT56">
            <v>5.9647699999999997</v>
          </cell>
          <cell r="HU56">
            <v>0</v>
          </cell>
          <cell r="HV56">
            <v>0</v>
          </cell>
          <cell r="HW56" t="str">
            <v>nd</v>
          </cell>
          <cell r="HX56">
            <v>2.3065899999999999</v>
          </cell>
          <cell r="HY56">
            <v>26.849181700000003</v>
          </cell>
          <cell r="HZ56">
            <v>8.9412687999999996</v>
          </cell>
          <cell r="IA56">
            <v>0</v>
          </cell>
          <cell r="IB56" t="str">
            <v>nd</v>
          </cell>
          <cell r="IC56" t="str">
            <v>nd</v>
          </cell>
          <cell r="ID56">
            <v>3.3381300000000005</v>
          </cell>
          <cell r="IE56">
            <v>15.1617119</v>
          </cell>
          <cell r="IF56">
            <v>3.3073699999999997</v>
          </cell>
          <cell r="IG56">
            <v>0</v>
          </cell>
          <cell r="IH56">
            <v>9.4717399999999993E-2</v>
          </cell>
          <cell r="II56" t="str">
            <v>nd</v>
          </cell>
          <cell r="IJ56">
            <v>0</v>
          </cell>
          <cell r="IK56">
            <v>0.20123200000000002</v>
          </cell>
          <cell r="IL56">
            <v>0</v>
          </cell>
          <cell r="IM56">
            <v>0</v>
          </cell>
          <cell r="IN56">
            <v>0.35031499999999999</v>
          </cell>
          <cell r="IO56">
            <v>0.59509999999999996</v>
          </cell>
          <cell r="IP56">
            <v>1.93448</v>
          </cell>
          <cell r="IQ56">
            <v>1.6783699999999999</v>
          </cell>
          <cell r="IR56" t="str">
            <v>nd</v>
          </cell>
          <cell r="IS56" t="str">
            <v>nd</v>
          </cell>
          <cell r="IT56">
            <v>0.15331399999999998</v>
          </cell>
          <cell r="IU56">
            <v>4.7121499999999994</v>
          </cell>
          <cell r="IV56">
            <v>23.982476899999998</v>
          </cell>
          <cell r="IW56">
            <v>6.4259180000000002</v>
          </cell>
          <cell r="IX56" t="str">
            <v>nd</v>
          </cell>
          <cell r="IY56" t="str">
            <v>nd</v>
          </cell>
          <cell r="IZ56">
            <v>0.30030600000000002</v>
          </cell>
          <cell r="JA56">
            <v>5.7512099999999995</v>
          </cell>
          <cell r="JB56">
            <v>23.314859299999998</v>
          </cell>
          <cell r="JC56">
            <v>8.310398600000001</v>
          </cell>
          <cell r="JD56">
            <v>0</v>
          </cell>
          <cell r="JE56">
            <v>0</v>
          </cell>
          <cell r="JF56" t="str">
            <v>nd</v>
          </cell>
          <cell r="JG56">
            <v>2.16615</v>
          </cell>
          <cell r="JH56">
            <v>15.0230575</v>
          </cell>
          <cell r="JI56">
            <v>4.5101800000000001</v>
          </cell>
          <cell r="JJ56">
            <v>0</v>
          </cell>
          <cell r="JK56">
            <v>0</v>
          </cell>
          <cell r="JL56">
            <v>0</v>
          </cell>
          <cell r="JM56">
            <v>0</v>
          </cell>
          <cell r="JN56">
            <v>0.42470700000000006</v>
          </cell>
          <cell r="JO56">
            <v>0</v>
          </cell>
          <cell r="JP56">
            <v>0</v>
          </cell>
          <cell r="JQ56" t="str">
            <v>nd</v>
          </cell>
          <cell r="JR56">
            <v>0</v>
          </cell>
          <cell r="JS56">
            <v>0</v>
          </cell>
          <cell r="JT56">
            <v>4.28688</v>
          </cell>
          <cell r="JU56">
            <v>0</v>
          </cell>
          <cell r="JV56">
            <v>0</v>
          </cell>
          <cell r="JW56">
            <v>0</v>
          </cell>
          <cell r="JX56" t="str">
            <v>nd</v>
          </cell>
          <cell r="JY56">
            <v>1.3134399999999999</v>
          </cell>
          <cell r="JZ56">
            <v>33.6729585</v>
          </cell>
          <cell r="KA56">
            <v>0</v>
          </cell>
          <cell r="KB56">
            <v>0</v>
          </cell>
          <cell r="KC56">
            <v>0</v>
          </cell>
          <cell r="KD56">
            <v>0</v>
          </cell>
          <cell r="KE56">
            <v>1.19998</v>
          </cell>
          <cell r="KF56">
            <v>37.061156499999996</v>
          </cell>
          <cell r="KG56">
            <v>0</v>
          </cell>
          <cell r="KH56">
            <v>0</v>
          </cell>
          <cell r="KI56">
            <v>0</v>
          </cell>
          <cell r="KJ56">
            <v>0</v>
          </cell>
          <cell r="KK56">
            <v>0.36434800000000001</v>
          </cell>
          <cell r="KL56">
            <v>21.586347799999999</v>
          </cell>
          <cell r="KM56">
            <v>70</v>
          </cell>
          <cell r="KN56">
            <v>11.600000000000001</v>
          </cell>
          <cell r="KO56">
            <v>5.3</v>
          </cell>
          <cell r="KP56">
            <v>6.2</v>
          </cell>
          <cell r="KQ56">
            <v>6.7</v>
          </cell>
          <cell r="KR56">
            <v>0.2</v>
          </cell>
          <cell r="KS56">
            <v>68.7</v>
          </cell>
          <cell r="KT56">
            <v>11.700000000000001</v>
          </cell>
          <cell r="KU56">
            <v>5.4</v>
          </cell>
          <cell r="KV56">
            <v>6.6000000000000005</v>
          </cell>
          <cell r="KW56">
            <v>7.3</v>
          </cell>
          <cell r="KX56">
            <v>0.2</v>
          </cell>
          <cell r="KY56"/>
          <cell r="KZ56"/>
          <cell r="LA56"/>
          <cell r="LB56"/>
          <cell r="LC56"/>
          <cell r="LD56"/>
          <cell r="LE56"/>
          <cell r="LF56"/>
          <cell r="LG56"/>
          <cell r="LH56"/>
          <cell r="LI56"/>
          <cell r="LJ56"/>
          <cell r="LK56"/>
          <cell r="LL56"/>
          <cell r="LM56"/>
          <cell r="LN56"/>
          <cell r="LO56"/>
        </row>
        <row r="57">
          <cell r="A57" t="str">
            <v>1GZ</v>
          </cell>
          <cell r="B57" t="str">
            <v>57</v>
          </cell>
          <cell r="C57" t="str">
            <v>NAF 17</v>
          </cell>
          <cell r="D57" t="str">
            <v>GZ</v>
          </cell>
          <cell r="E57" t="str">
            <v>1</v>
          </cell>
          <cell r="F57" t="str">
            <v>nd</v>
          </cell>
          <cell r="G57">
            <v>8.3000000000000007</v>
          </cell>
          <cell r="H57">
            <v>29.599999999999998</v>
          </cell>
          <cell r="I57">
            <v>45.800000000000004</v>
          </cell>
          <cell r="J57">
            <v>16</v>
          </cell>
          <cell r="K57">
            <v>64.8</v>
          </cell>
          <cell r="L57">
            <v>19.400000000000002</v>
          </cell>
          <cell r="M57">
            <v>13.4</v>
          </cell>
          <cell r="N57">
            <v>2.4</v>
          </cell>
          <cell r="O57">
            <v>22</v>
          </cell>
          <cell r="P57">
            <v>23.599999999999998</v>
          </cell>
          <cell r="Q57">
            <v>26.900000000000002</v>
          </cell>
          <cell r="R57">
            <v>12.5</v>
          </cell>
          <cell r="S57">
            <v>8.7999999999999989</v>
          </cell>
          <cell r="T57">
            <v>33.4</v>
          </cell>
          <cell r="U57">
            <v>5.7</v>
          </cell>
          <cell r="V57">
            <v>21.9</v>
          </cell>
          <cell r="W57">
            <v>6.7</v>
          </cell>
          <cell r="X57">
            <v>89.3</v>
          </cell>
          <cell r="Y57">
            <v>4</v>
          </cell>
          <cell r="Z57" t="str">
            <v>nd</v>
          </cell>
          <cell r="AA57">
            <v>39.700000000000003</v>
          </cell>
          <cell r="AB57">
            <v>25.4</v>
          </cell>
          <cell r="AC57" t="str">
            <v>nd</v>
          </cell>
          <cell r="AD57">
            <v>39.700000000000003</v>
          </cell>
          <cell r="AE57">
            <v>37.700000000000003</v>
          </cell>
          <cell r="AF57">
            <v>62.3</v>
          </cell>
          <cell r="AG57">
            <v>36</v>
          </cell>
          <cell r="AH57">
            <v>64</v>
          </cell>
          <cell r="AI57">
            <v>59.099999999999994</v>
          </cell>
          <cell r="AJ57">
            <v>4</v>
          </cell>
          <cell r="AK57">
            <v>4</v>
          </cell>
          <cell r="AL57">
            <v>24.6</v>
          </cell>
          <cell r="AM57">
            <v>8.3000000000000007</v>
          </cell>
          <cell r="AN57" t="str">
            <v>nd</v>
          </cell>
          <cell r="AO57" t="str">
            <v>nd</v>
          </cell>
          <cell r="AP57">
            <v>1.9</v>
          </cell>
          <cell r="AQ57">
            <v>92.300000000000011</v>
          </cell>
          <cell r="AR57">
            <v>3.2</v>
          </cell>
          <cell r="AS57">
            <v>74.2</v>
          </cell>
          <cell r="AT57">
            <v>6.1</v>
          </cell>
          <cell r="AU57">
            <v>3.1</v>
          </cell>
          <cell r="AV57">
            <v>3.9</v>
          </cell>
          <cell r="AW57">
            <v>1.9</v>
          </cell>
          <cell r="AX57">
            <v>10.7</v>
          </cell>
          <cell r="AY57">
            <v>3.5999999999999996</v>
          </cell>
          <cell r="AZ57">
            <v>3</v>
          </cell>
          <cell r="BA57">
            <v>1.5</v>
          </cell>
          <cell r="BB57">
            <v>4.3</v>
          </cell>
          <cell r="BC57">
            <v>13.3</v>
          </cell>
          <cell r="BD57">
            <v>74.3</v>
          </cell>
          <cell r="BE57">
            <v>1.3</v>
          </cell>
          <cell r="BF57">
            <v>1.2</v>
          </cell>
          <cell r="BG57">
            <v>0.8</v>
          </cell>
          <cell r="BH57">
            <v>6</v>
          </cell>
          <cell r="BI57">
            <v>16.5</v>
          </cell>
          <cell r="BJ57">
            <v>74.2</v>
          </cell>
          <cell r="BK57">
            <v>0</v>
          </cell>
          <cell r="BL57">
            <v>0</v>
          </cell>
          <cell r="BM57" t="str">
            <v>nd</v>
          </cell>
          <cell r="BN57">
            <v>4.8</v>
          </cell>
          <cell r="BO57">
            <v>38.5</v>
          </cell>
          <cell r="BP57">
            <v>56.399999999999991</v>
          </cell>
          <cell r="BQ57">
            <v>0</v>
          </cell>
          <cell r="BR57">
            <v>0</v>
          </cell>
          <cell r="BS57">
            <v>1.2</v>
          </cell>
          <cell r="BT57">
            <v>9.5</v>
          </cell>
          <cell r="BU57">
            <v>38.700000000000003</v>
          </cell>
          <cell r="BV57">
            <v>50.6</v>
          </cell>
          <cell r="BW57">
            <v>0</v>
          </cell>
          <cell r="BX57">
            <v>0</v>
          </cell>
          <cell r="BY57" t="str">
            <v>nd</v>
          </cell>
          <cell r="BZ57" t="str">
            <v>nd</v>
          </cell>
          <cell r="CA57" t="str">
            <v>nd</v>
          </cell>
          <cell r="CB57">
            <v>98.7</v>
          </cell>
          <cell r="CC57">
            <v>19.600000000000001</v>
          </cell>
          <cell r="CD57">
            <v>4.2</v>
          </cell>
          <cell r="CE57">
            <v>0</v>
          </cell>
          <cell r="CF57">
            <v>2.1999999999999997</v>
          </cell>
          <cell r="CG57">
            <v>0</v>
          </cell>
          <cell r="CH57">
            <v>14.899999999999999</v>
          </cell>
          <cell r="CI57">
            <v>8</v>
          </cell>
          <cell r="CJ57">
            <v>66.400000000000006</v>
          </cell>
          <cell r="CK57">
            <v>16.400000000000002</v>
          </cell>
          <cell r="CL57">
            <v>2.4</v>
          </cell>
          <cell r="CM57">
            <v>2</v>
          </cell>
          <cell r="CN57">
            <v>1.5</v>
          </cell>
          <cell r="CO57">
            <v>84.1</v>
          </cell>
          <cell r="CP57">
            <v>28.9</v>
          </cell>
          <cell r="CQ57">
            <v>33.300000000000004</v>
          </cell>
          <cell r="CR57">
            <v>7.8</v>
          </cell>
          <cell r="CS57">
            <v>30</v>
          </cell>
          <cell r="CT57">
            <v>16.8</v>
          </cell>
          <cell r="CU57">
            <v>83.2</v>
          </cell>
          <cell r="CV57">
            <v>23.200000000000003</v>
          </cell>
          <cell r="CW57">
            <v>76.8</v>
          </cell>
          <cell r="CX57">
            <v>25.3</v>
          </cell>
          <cell r="CY57">
            <v>36.6</v>
          </cell>
          <cell r="CZ57">
            <v>38.200000000000003</v>
          </cell>
          <cell r="DA57">
            <v>25</v>
          </cell>
          <cell r="DB57">
            <v>8.5</v>
          </cell>
          <cell r="DC57">
            <v>33.1</v>
          </cell>
          <cell r="DD57">
            <v>0</v>
          </cell>
          <cell r="DE57">
            <v>48.3</v>
          </cell>
          <cell r="DF57">
            <v>25.1</v>
          </cell>
          <cell r="DG57">
            <v>6.3</v>
          </cell>
          <cell r="DH57">
            <v>17</v>
          </cell>
          <cell r="DI57">
            <v>12.3</v>
          </cell>
          <cell r="DJ57">
            <v>16.8</v>
          </cell>
          <cell r="DK57">
            <v>22.5</v>
          </cell>
          <cell r="DL57">
            <v>34.699999999999996</v>
          </cell>
          <cell r="DM57">
            <v>31.5</v>
          </cell>
          <cell r="DN57">
            <v>7.6</v>
          </cell>
          <cell r="DO57">
            <v>18.600000000000001</v>
          </cell>
          <cell r="DP57">
            <v>3.4000000000000004</v>
          </cell>
          <cell r="DQ57" t="str">
            <v>nd</v>
          </cell>
          <cell r="DR57">
            <v>17.599999999999998</v>
          </cell>
          <cell r="DS57">
            <v>4.3</v>
          </cell>
          <cell r="DT57">
            <v>15.8</v>
          </cell>
          <cell r="DU57">
            <v>0</v>
          </cell>
          <cell r="DV57">
            <v>0</v>
          </cell>
          <cell r="DW57">
            <v>0</v>
          </cell>
          <cell r="DX57">
            <v>0</v>
          </cell>
          <cell r="DY57" t="str">
            <v>nd</v>
          </cell>
          <cell r="DZ57">
            <v>5.0501300000000002</v>
          </cell>
          <cell r="EA57">
            <v>0.99074000000000007</v>
          </cell>
          <cell r="EB57" t="str">
            <v>nd</v>
          </cell>
          <cell r="EC57" t="str">
            <v>nd</v>
          </cell>
          <cell r="ED57">
            <v>0</v>
          </cell>
          <cell r="EE57">
            <v>1.4555800000000001</v>
          </cell>
          <cell r="EF57">
            <v>18.072693000000001</v>
          </cell>
          <cell r="EG57">
            <v>3.9605799999999998</v>
          </cell>
          <cell r="EH57">
            <v>1.2044600000000001</v>
          </cell>
          <cell r="EI57">
            <v>2.8071899999999999</v>
          </cell>
          <cell r="EJ57">
            <v>1.0418399999999999</v>
          </cell>
          <cell r="EK57">
            <v>2.56013</v>
          </cell>
          <cell r="EL57">
            <v>36.574723800000001</v>
          </cell>
          <cell r="EM57">
            <v>0.94112999999999991</v>
          </cell>
          <cell r="EN57">
            <v>0.85240000000000005</v>
          </cell>
          <cell r="EO57">
            <v>0.85970999999999997</v>
          </cell>
          <cell r="EP57">
            <v>0.89659000000000011</v>
          </cell>
          <cell r="EQ57">
            <v>5.7048399999999999</v>
          </cell>
          <cell r="ER57">
            <v>14.542334400000001</v>
          </cell>
          <cell r="ES57" t="str">
            <v>nd</v>
          </cell>
          <cell r="ET57" t="str">
            <v>nd</v>
          </cell>
          <cell r="EU57">
            <v>0</v>
          </cell>
          <cell r="EV57">
            <v>0</v>
          </cell>
          <cell r="EW57" t="str">
            <v>nd</v>
          </cell>
          <cell r="EX57">
            <v>0</v>
          </cell>
          <cell r="EY57">
            <v>0</v>
          </cell>
          <cell r="EZ57">
            <v>0</v>
          </cell>
          <cell r="FA57">
            <v>0</v>
          </cell>
          <cell r="FB57" t="str">
            <v>nd</v>
          </cell>
          <cell r="FC57" t="str">
            <v>nd</v>
          </cell>
          <cell r="FD57" t="str">
            <v>nd</v>
          </cell>
          <cell r="FE57">
            <v>0</v>
          </cell>
          <cell r="FF57" t="str">
            <v>nd</v>
          </cell>
          <cell r="FG57">
            <v>1.66404</v>
          </cell>
          <cell r="FH57">
            <v>5.8591199999999999</v>
          </cell>
          <cell r="FI57">
            <v>2.36999</v>
          </cell>
          <cell r="FJ57">
            <v>1.3829100000000001</v>
          </cell>
          <cell r="FK57">
            <v>1.39598</v>
          </cell>
          <cell r="FL57">
            <v>2.4953099999999999</v>
          </cell>
          <cell r="FM57">
            <v>5.0327400000000004</v>
          </cell>
          <cell r="FN57">
            <v>16.36035</v>
          </cell>
          <cell r="FO57">
            <v>1.01875</v>
          </cell>
          <cell r="FP57">
            <v>0.87066999999999994</v>
          </cell>
          <cell r="FQ57" t="str">
            <v>nd</v>
          </cell>
          <cell r="FR57">
            <v>0.89379000000000008</v>
          </cell>
          <cell r="FS57">
            <v>4.9725999999999999</v>
          </cell>
          <cell r="FT57">
            <v>40.083048099999999</v>
          </cell>
          <cell r="FU57">
            <v>0</v>
          </cell>
          <cell r="FV57">
            <v>0</v>
          </cell>
          <cell r="FW57">
            <v>0</v>
          </cell>
          <cell r="FX57" t="str">
            <v>nd</v>
          </cell>
          <cell r="FY57" t="str">
            <v>nd</v>
          </cell>
          <cell r="FZ57">
            <v>11.5694219</v>
          </cell>
          <cell r="GA57" t="str">
            <v>nd</v>
          </cell>
          <cell r="GB57">
            <v>0</v>
          </cell>
          <cell r="GC57">
            <v>0</v>
          </cell>
          <cell r="GD57">
            <v>0</v>
          </cell>
          <cell r="GE57">
            <v>0</v>
          </cell>
          <cell r="GF57" t="str">
            <v>nd</v>
          </cell>
          <cell r="GG57" t="str">
            <v>nd</v>
          </cell>
          <cell r="GH57" t="str">
            <v>nd</v>
          </cell>
          <cell r="GI57">
            <v>1.1311899999999999</v>
          </cell>
          <cell r="GJ57">
            <v>3.8952300000000002</v>
          </cell>
          <cell r="GK57">
            <v>2.8278099999999999</v>
          </cell>
          <cell r="GL57" t="str">
            <v>nd</v>
          </cell>
          <cell r="GM57">
            <v>0.82108000000000003</v>
          </cell>
          <cell r="GN57" t="str">
            <v>nd</v>
          </cell>
          <cell r="GO57">
            <v>2.9304899999999998</v>
          </cell>
          <cell r="GP57">
            <v>7.8156158000000007</v>
          </cell>
          <cell r="GQ57">
            <v>19.0410389</v>
          </cell>
          <cell r="GR57" t="str">
            <v>nd</v>
          </cell>
          <cell r="GS57">
            <v>0</v>
          </cell>
          <cell r="GT57">
            <v>0</v>
          </cell>
          <cell r="GU57" t="str">
            <v>nd</v>
          </cell>
          <cell r="GV57">
            <v>3.7418499999999999</v>
          </cell>
          <cell r="GW57">
            <v>41.097521499999999</v>
          </cell>
          <cell r="GX57">
            <v>0</v>
          </cell>
          <cell r="GY57">
            <v>0</v>
          </cell>
          <cell r="GZ57">
            <v>0</v>
          </cell>
          <cell r="HA57" t="str">
            <v>nd</v>
          </cell>
          <cell r="HB57">
            <v>1.0042799999999998</v>
          </cell>
          <cell r="HC57">
            <v>11.194062000000001</v>
          </cell>
          <cell r="HD57">
            <v>0</v>
          </cell>
          <cell r="HE57" t="str">
            <v>nd</v>
          </cell>
          <cell r="HF57">
            <v>0</v>
          </cell>
          <cell r="HG57">
            <v>0</v>
          </cell>
          <cell r="HH57">
            <v>0</v>
          </cell>
          <cell r="HI57">
            <v>0</v>
          </cell>
          <cell r="HJ57">
            <v>0</v>
          </cell>
          <cell r="HK57">
            <v>0</v>
          </cell>
          <cell r="HL57">
            <v>0.91185999999999989</v>
          </cell>
          <cell r="HM57">
            <v>3.7464200000000005</v>
          </cell>
          <cell r="HN57">
            <v>3.98054</v>
          </cell>
          <cell r="HO57">
            <v>0</v>
          </cell>
          <cell r="HP57">
            <v>0</v>
          </cell>
          <cell r="HQ57" t="str">
            <v>nd</v>
          </cell>
          <cell r="HR57" t="str">
            <v>nd</v>
          </cell>
          <cell r="HS57">
            <v>12.0698132</v>
          </cell>
          <cell r="HT57">
            <v>16.4911241</v>
          </cell>
          <cell r="HU57">
            <v>0</v>
          </cell>
          <cell r="HV57">
            <v>0</v>
          </cell>
          <cell r="HW57">
            <v>0</v>
          </cell>
          <cell r="HX57">
            <v>3.0506199999999999</v>
          </cell>
          <cell r="HY57">
            <v>18.6152531</v>
          </cell>
          <cell r="HZ57">
            <v>26.174472300000001</v>
          </cell>
          <cell r="IA57">
            <v>0</v>
          </cell>
          <cell r="IB57">
            <v>0</v>
          </cell>
          <cell r="IC57">
            <v>0</v>
          </cell>
          <cell r="ID57" t="str">
            <v>nd</v>
          </cell>
          <cell r="IE57">
            <v>3.7404999999999999</v>
          </cell>
          <cell r="IF57">
            <v>9.7223796999999994</v>
          </cell>
          <cell r="IG57">
            <v>0</v>
          </cell>
          <cell r="IH57">
            <v>0</v>
          </cell>
          <cell r="II57">
            <v>0</v>
          </cell>
          <cell r="IJ57">
            <v>0</v>
          </cell>
          <cell r="IK57" t="str">
            <v>nd</v>
          </cell>
          <cell r="IL57">
            <v>0</v>
          </cell>
          <cell r="IM57">
            <v>0</v>
          </cell>
          <cell r="IN57">
            <v>0</v>
          </cell>
          <cell r="IO57">
            <v>1.07176</v>
          </cell>
          <cell r="IP57">
            <v>2.5095800000000001</v>
          </cell>
          <cell r="IQ57">
            <v>4.6734799999999996</v>
          </cell>
          <cell r="IR57">
            <v>0</v>
          </cell>
          <cell r="IS57">
            <v>0</v>
          </cell>
          <cell r="IT57" t="str">
            <v>nd</v>
          </cell>
          <cell r="IU57">
            <v>2.5331999999999999</v>
          </cell>
          <cell r="IV57">
            <v>10.921737500000001</v>
          </cell>
          <cell r="IW57">
            <v>16.341392800000001</v>
          </cell>
          <cell r="IX57">
            <v>0</v>
          </cell>
          <cell r="IY57">
            <v>0</v>
          </cell>
          <cell r="IZ57" t="str">
            <v>nd</v>
          </cell>
          <cell r="JA57">
            <v>4.4540700000000006</v>
          </cell>
          <cell r="JB57">
            <v>20.8717398</v>
          </cell>
          <cell r="JC57">
            <v>21.498093300000001</v>
          </cell>
          <cell r="JD57">
            <v>0</v>
          </cell>
          <cell r="JE57">
            <v>0</v>
          </cell>
          <cell r="JF57">
            <v>0</v>
          </cell>
          <cell r="JG57">
            <v>1.4912300000000001</v>
          </cell>
          <cell r="JH57">
            <v>4.3818400000000004</v>
          </cell>
          <cell r="JI57">
            <v>7.7243952</v>
          </cell>
          <cell r="JJ57">
            <v>0</v>
          </cell>
          <cell r="JK57">
            <v>0</v>
          </cell>
          <cell r="JL57">
            <v>0</v>
          </cell>
          <cell r="JM57">
            <v>0</v>
          </cell>
          <cell r="JN57" t="str">
            <v>nd</v>
          </cell>
          <cell r="JO57">
            <v>0</v>
          </cell>
          <cell r="JP57">
            <v>0</v>
          </cell>
          <cell r="JQ57" t="str">
            <v>nd</v>
          </cell>
          <cell r="JR57">
            <v>0</v>
          </cell>
          <cell r="JS57">
            <v>0</v>
          </cell>
          <cell r="JT57">
            <v>8.3381568999999995</v>
          </cell>
          <cell r="JU57">
            <v>0</v>
          </cell>
          <cell r="JV57">
            <v>0</v>
          </cell>
          <cell r="JW57">
            <v>0</v>
          </cell>
          <cell r="JX57" t="str">
            <v>nd</v>
          </cell>
          <cell r="JY57">
            <v>0</v>
          </cell>
          <cell r="JZ57">
            <v>28.555794800000001</v>
          </cell>
          <cell r="KA57">
            <v>0</v>
          </cell>
          <cell r="KB57">
            <v>0</v>
          </cell>
          <cell r="KC57">
            <v>0</v>
          </cell>
          <cell r="KD57">
            <v>0</v>
          </cell>
          <cell r="KE57" t="str">
            <v>nd</v>
          </cell>
          <cell r="KF57">
            <v>47.3672118</v>
          </cell>
          <cell r="KG57">
            <v>0</v>
          </cell>
          <cell r="KH57">
            <v>0</v>
          </cell>
          <cell r="KI57">
            <v>0</v>
          </cell>
          <cell r="KJ57">
            <v>0</v>
          </cell>
          <cell r="KK57">
            <v>0</v>
          </cell>
          <cell r="KL57">
            <v>14.042129000000001</v>
          </cell>
          <cell r="KM57">
            <v>76.5</v>
          </cell>
          <cell r="KN57">
            <v>7.0000000000000009</v>
          </cell>
          <cell r="KO57">
            <v>5</v>
          </cell>
          <cell r="KP57">
            <v>4.1000000000000005</v>
          </cell>
          <cell r="KQ57">
            <v>7.1999999999999993</v>
          </cell>
          <cell r="KR57">
            <v>0.2</v>
          </cell>
          <cell r="KS57">
            <v>75.599999999999994</v>
          </cell>
          <cell r="KT57">
            <v>7.0000000000000009</v>
          </cell>
          <cell r="KU57">
            <v>5.4</v>
          </cell>
          <cell r="KV57">
            <v>4.3</v>
          </cell>
          <cell r="KW57">
            <v>7.7</v>
          </cell>
          <cell r="KX57">
            <v>0.2</v>
          </cell>
          <cell r="KY57"/>
          <cell r="KZ57"/>
          <cell r="LA57"/>
          <cell r="LB57"/>
          <cell r="LC57"/>
          <cell r="LD57"/>
          <cell r="LE57"/>
          <cell r="LF57"/>
          <cell r="LG57"/>
          <cell r="LH57"/>
          <cell r="LI57"/>
          <cell r="LJ57"/>
          <cell r="LK57"/>
          <cell r="LL57"/>
          <cell r="LM57"/>
          <cell r="LN57"/>
          <cell r="LO57"/>
        </row>
        <row r="58">
          <cell r="A58" t="str">
            <v>2GZ</v>
          </cell>
          <cell r="B58" t="str">
            <v>58</v>
          </cell>
          <cell r="C58" t="str">
            <v>NAF 17</v>
          </cell>
          <cell r="D58" t="str">
            <v>GZ</v>
          </cell>
          <cell r="E58" t="str">
            <v>2</v>
          </cell>
          <cell r="F58">
            <v>0.6</v>
          </cell>
          <cell r="G58">
            <v>6.4</v>
          </cell>
          <cell r="H58">
            <v>27</v>
          </cell>
          <cell r="I58">
            <v>45</v>
          </cell>
          <cell r="J58">
            <v>20.9</v>
          </cell>
          <cell r="K58">
            <v>73.2</v>
          </cell>
          <cell r="L58">
            <v>10.100000000000001</v>
          </cell>
          <cell r="M58">
            <v>14.000000000000002</v>
          </cell>
          <cell r="N58">
            <v>2.7</v>
          </cell>
          <cell r="O58">
            <v>23.9</v>
          </cell>
          <cell r="P58">
            <v>27</v>
          </cell>
          <cell r="Q58">
            <v>33.200000000000003</v>
          </cell>
          <cell r="R58">
            <v>13.200000000000001</v>
          </cell>
          <cell r="S58">
            <v>9.1999999999999993</v>
          </cell>
          <cell r="T58">
            <v>27</v>
          </cell>
          <cell r="U58">
            <v>5.4</v>
          </cell>
          <cell r="V58">
            <v>18.600000000000001</v>
          </cell>
          <cell r="W58">
            <v>10.6</v>
          </cell>
          <cell r="X58">
            <v>82.8</v>
          </cell>
          <cell r="Y58">
            <v>6.6000000000000005</v>
          </cell>
          <cell r="Z58">
            <v>12.1</v>
          </cell>
          <cell r="AA58">
            <v>53.5</v>
          </cell>
          <cell r="AB58">
            <v>11.1</v>
          </cell>
          <cell r="AC58">
            <v>25.3</v>
          </cell>
          <cell r="AD58">
            <v>17.2</v>
          </cell>
          <cell r="AE58">
            <v>47.8</v>
          </cell>
          <cell r="AF58">
            <v>52.2</v>
          </cell>
          <cell r="AG58">
            <v>58.3</v>
          </cell>
          <cell r="AH58">
            <v>41.699999999999996</v>
          </cell>
          <cell r="AI58">
            <v>46.800000000000004</v>
          </cell>
          <cell r="AJ58">
            <v>8.1</v>
          </cell>
          <cell r="AK58">
            <v>0</v>
          </cell>
          <cell r="AL58">
            <v>40.300000000000004</v>
          </cell>
          <cell r="AM58">
            <v>4.8</v>
          </cell>
          <cell r="AN58">
            <v>2.1</v>
          </cell>
          <cell r="AO58">
            <v>1.7000000000000002</v>
          </cell>
          <cell r="AP58">
            <v>3.4000000000000004</v>
          </cell>
          <cell r="AQ58">
            <v>88.2</v>
          </cell>
          <cell r="AR58">
            <v>4.5999999999999996</v>
          </cell>
          <cell r="AS58">
            <v>73.400000000000006</v>
          </cell>
          <cell r="AT58">
            <v>8.7999999999999989</v>
          </cell>
          <cell r="AU58">
            <v>5</v>
          </cell>
          <cell r="AV58">
            <v>2.9000000000000004</v>
          </cell>
          <cell r="AW58">
            <v>2.2999999999999998</v>
          </cell>
          <cell r="AX58">
            <v>7.5</v>
          </cell>
          <cell r="AY58">
            <v>2.2999999999999998</v>
          </cell>
          <cell r="AZ58">
            <v>4.1000000000000005</v>
          </cell>
          <cell r="BA58">
            <v>4.2</v>
          </cell>
          <cell r="BB58">
            <v>7.3999999999999995</v>
          </cell>
          <cell r="BC58">
            <v>17.299999999999997</v>
          </cell>
          <cell r="BD58">
            <v>64.7</v>
          </cell>
          <cell r="BE58" t="str">
            <v>nd</v>
          </cell>
          <cell r="BF58">
            <v>2</v>
          </cell>
          <cell r="BG58">
            <v>1.4000000000000001</v>
          </cell>
          <cell r="BH58">
            <v>2.5</v>
          </cell>
          <cell r="BI58">
            <v>23.5</v>
          </cell>
          <cell r="BJ58">
            <v>69.899999999999991</v>
          </cell>
          <cell r="BK58">
            <v>0</v>
          </cell>
          <cell r="BL58" t="str">
            <v>nd</v>
          </cell>
          <cell r="BM58" t="str">
            <v>nd</v>
          </cell>
          <cell r="BN58">
            <v>4.2</v>
          </cell>
          <cell r="BO58">
            <v>53.900000000000006</v>
          </cell>
          <cell r="BP58">
            <v>41.099999999999994</v>
          </cell>
          <cell r="BQ58" t="str">
            <v>nd</v>
          </cell>
          <cell r="BR58" t="str">
            <v>nd</v>
          </cell>
          <cell r="BS58">
            <v>1.0999999999999999</v>
          </cell>
          <cell r="BT58">
            <v>10.5</v>
          </cell>
          <cell r="BU58">
            <v>49.5</v>
          </cell>
          <cell r="BV58">
            <v>38.5</v>
          </cell>
          <cell r="BW58">
            <v>0</v>
          </cell>
          <cell r="BX58">
            <v>0</v>
          </cell>
          <cell r="BY58">
            <v>0</v>
          </cell>
          <cell r="BZ58">
            <v>0</v>
          </cell>
          <cell r="CA58">
            <v>2.8000000000000003</v>
          </cell>
          <cell r="CB58">
            <v>97.2</v>
          </cell>
          <cell r="CC58">
            <v>22.900000000000002</v>
          </cell>
          <cell r="CD58">
            <v>5.7</v>
          </cell>
          <cell r="CE58">
            <v>0</v>
          </cell>
          <cell r="CF58">
            <v>1.9</v>
          </cell>
          <cell r="CG58">
            <v>0</v>
          </cell>
          <cell r="CH58">
            <v>15.4</v>
          </cell>
          <cell r="CI58">
            <v>6.8000000000000007</v>
          </cell>
          <cell r="CJ58">
            <v>60.9</v>
          </cell>
          <cell r="CK58">
            <v>22.900000000000002</v>
          </cell>
          <cell r="CL58">
            <v>1.3</v>
          </cell>
          <cell r="CM58">
            <v>2.5</v>
          </cell>
          <cell r="CN58">
            <v>1.6</v>
          </cell>
          <cell r="CO58">
            <v>76</v>
          </cell>
          <cell r="CP58">
            <v>19.2</v>
          </cell>
          <cell r="CQ58">
            <v>39.800000000000004</v>
          </cell>
          <cell r="CR58">
            <v>8.3000000000000007</v>
          </cell>
          <cell r="CS58">
            <v>32.700000000000003</v>
          </cell>
          <cell r="CT58">
            <v>14.299999999999999</v>
          </cell>
          <cell r="CU58">
            <v>85.7</v>
          </cell>
          <cell r="CV58">
            <v>23.599999999999998</v>
          </cell>
          <cell r="CW58">
            <v>76.400000000000006</v>
          </cell>
          <cell r="CX58">
            <v>30.2</v>
          </cell>
          <cell r="CY58">
            <v>38.5</v>
          </cell>
          <cell r="CZ58">
            <v>31.3</v>
          </cell>
          <cell r="DA58">
            <v>46.7</v>
          </cell>
          <cell r="DB58">
            <v>9.1</v>
          </cell>
          <cell r="DC58">
            <v>19.7</v>
          </cell>
          <cell r="DD58">
            <v>0</v>
          </cell>
          <cell r="DE58">
            <v>51.1</v>
          </cell>
          <cell r="DF58">
            <v>27.1</v>
          </cell>
          <cell r="DG58">
            <v>6.6000000000000005</v>
          </cell>
          <cell r="DH58">
            <v>11.899999999999999</v>
          </cell>
          <cell r="DI58">
            <v>12.6</v>
          </cell>
          <cell r="DJ58">
            <v>12.4</v>
          </cell>
          <cell r="DK58">
            <v>29.299999999999997</v>
          </cell>
          <cell r="DL58">
            <v>29.299999999999997</v>
          </cell>
          <cell r="DM58">
            <v>32</v>
          </cell>
          <cell r="DN58">
            <v>9.1999999999999993</v>
          </cell>
          <cell r="DO58">
            <v>19.8</v>
          </cell>
          <cell r="DP58">
            <v>2.2999999999999998</v>
          </cell>
          <cell r="DQ58" t="str">
            <v>nd</v>
          </cell>
          <cell r="DR58">
            <v>15.7</v>
          </cell>
          <cell r="DS58">
            <v>9.6</v>
          </cell>
          <cell r="DT58">
            <v>21.2</v>
          </cell>
          <cell r="DU58" t="str">
            <v>nd</v>
          </cell>
          <cell r="DV58" t="str">
            <v>nd</v>
          </cell>
          <cell r="DW58">
            <v>0</v>
          </cell>
          <cell r="DX58">
            <v>0</v>
          </cell>
          <cell r="DY58" t="str">
            <v>nd</v>
          </cell>
          <cell r="DZ58">
            <v>3.24573</v>
          </cell>
          <cell r="EA58" t="str">
            <v>nd</v>
          </cell>
          <cell r="EB58">
            <v>1.7469100000000002</v>
          </cell>
          <cell r="EC58">
            <v>0.56662400000000002</v>
          </cell>
          <cell r="ED58" t="str">
            <v>nd</v>
          </cell>
          <cell r="EE58">
            <v>0</v>
          </cell>
          <cell r="EF58">
            <v>17.714975499999998</v>
          </cell>
          <cell r="EG58">
            <v>4.4474800000000005</v>
          </cell>
          <cell r="EH58">
            <v>2.0606200000000001</v>
          </cell>
          <cell r="EI58" t="str">
            <v>nd</v>
          </cell>
          <cell r="EJ58">
            <v>1.16496</v>
          </cell>
          <cell r="EK58">
            <v>1.2653700000000001</v>
          </cell>
          <cell r="EL58">
            <v>35.318675300000002</v>
          </cell>
          <cell r="EM58">
            <v>2.6803500000000002</v>
          </cell>
          <cell r="EN58">
            <v>0.721723</v>
          </cell>
          <cell r="EO58">
            <v>1.6133999999999999</v>
          </cell>
          <cell r="EP58" t="str">
            <v>nd</v>
          </cell>
          <cell r="EQ58">
            <v>3.5730499999999998</v>
          </cell>
          <cell r="ER58">
            <v>16.808728000000002</v>
          </cell>
          <cell r="ES58">
            <v>1.2156800000000001</v>
          </cell>
          <cell r="ET58">
            <v>0.42525799999999997</v>
          </cell>
          <cell r="EU58" t="str">
            <v>nd</v>
          </cell>
          <cell r="EV58" t="str">
            <v>nd</v>
          </cell>
          <cell r="EW58">
            <v>2.5391500000000002</v>
          </cell>
          <cell r="EX58">
            <v>0</v>
          </cell>
          <cell r="EY58" t="str">
            <v>nd</v>
          </cell>
          <cell r="EZ58">
            <v>0</v>
          </cell>
          <cell r="FA58" t="str">
            <v>nd</v>
          </cell>
          <cell r="FB58">
            <v>0.50515100000000002</v>
          </cell>
          <cell r="FC58" t="str">
            <v>nd</v>
          </cell>
          <cell r="FD58" t="str">
            <v>nd</v>
          </cell>
          <cell r="FE58">
            <v>0.77587600000000001</v>
          </cell>
          <cell r="FF58">
            <v>0.63695899999999994</v>
          </cell>
          <cell r="FG58">
            <v>0.85565000000000002</v>
          </cell>
          <cell r="FH58">
            <v>3.4322400000000002</v>
          </cell>
          <cell r="FI58">
            <v>0.49136800000000003</v>
          </cell>
          <cell r="FJ58">
            <v>2.0856699999999999</v>
          </cell>
          <cell r="FK58">
            <v>1.6119999999999999</v>
          </cell>
          <cell r="FL58">
            <v>1.96502</v>
          </cell>
          <cell r="FM58">
            <v>6.7333633000000006</v>
          </cell>
          <cell r="FN58">
            <v>14.0371162</v>
          </cell>
          <cell r="FO58">
            <v>1.66839</v>
          </cell>
          <cell r="FP58" t="str">
            <v>nd</v>
          </cell>
          <cell r="FQ58">
            <v>1.58084</v>
          </cell>
          <cell r="FR58">
            <v>2.02684</v>
          </cell>
          <cell r="FS58">
            <v>5.4961099999999998</v>
          </cell>
          <cell r="FT58">
            <v>32.890354299999998</v>
          </cell>
          <cell r="FU58">
            <v>0</v>
          </cell>
          <cell r="FV58">
            <v>0.88226999999999989</v>
          </cell>
          <cell r="FW58" t="str">
            <v>nd</v>
          </cell>
          <cell r="FX58">
            <v>2.6686800000000002</v>
          </cell>
          <cell r="FY58">
            <v>4.1530300000000002</v>
          </cell>
          <cell r="FZ58">
            <v>13.825453700000001</v>
          </cell>
          <cell r="GA58" t="str">
            <v>nd</v>
          </cell>
          <cell r="GB58">
            <v>0</v>
          </cell>
          <cell r="GC58">
            <v>0</v>
          </cell>
          <cell r="GD58">
            <v>0</v>
          </cell>
          <cell r="GE58">
            <v>0.50230300000000006</v>
          </cell>
          <cell r="GF58">
            <v>0</v>
          </cell>
          <cell r="GG58">
            <v>0.54880299999999993</v>
          </cell>
          <cell r="GH58" t="str">
            <v>nd</v>
          </cell>
          <cell r="GI58" t="str">
            <v>nd</v>
          </cell>
          <cell r="GJ58">
            <v>1.4759199999999999</v>
          </cell>
          <cell r="GK58">
            <v>3.8077700000000001</v>
          </cell>
          <cell r="GL58" t="str">
            <v>nd</v>
          </cell>
          <cell r="GM58" t="str">
            <v>nd</v>
          </cell>
          <cell r="GN58">
            <v>0.79520000000000013</v>
          </cell>
          <cell r="GO58">
            <v>1.8902700000000001</v>
          </cell>
          <cell r="GP58">
            <v>9.0388409000000003</v>
          </cell>
          <cell r="GQ58">
            <v>14.415092</v>
          </cell>
          <cell r="GR58">
            <v>0</v>
          </cell>
          <cell r="GS58" t="str">
            <v>nd</v>
          </cell>
          <cell r="GT58">
            <v>0</v>
          </cell>
          <cell r="GU58" t="str">
            <v>nd</v>
          </cell>
          <cell r="GV58">
            <v>9.6497748999999988</v>
          </cell>
          <cell r="GW58">
            <v>33.355569000000003</v>
          </cell>
          <cell r="GX58">
            <v>0</v>
          </cell>
          <cell r="GY58">
            <v>0</v>
          </cell>
          <cell r="GZ58">
            <v>0</v>
          </cell>
          <cell r="HA58" t="str">
            <v>nd</v>
          </cell>
          <cell r="HB58">
            <v>3.3598000000000003</v>
          </cell>
          <cell r="HC58">
            <v>17.792910599999999</v>
          </cell>
          <cell r="HD58">
            <v>0</v>
          </cell>
          <cell r="HE58" t="str">
            <v>nd</v>
          </cell>
          <cell r="HF58">
            <v>0</v>
          </cell>
          <cell r="HG58">
            <v>0</v>
          </cell>
          <cell r="HH58">
            <v>0.50512400000000002</v>
          </cell>
          <cell r="HI58">
            <v>0</v>
          </cell>
          <cell r="HJ58">
            <v>0</v>
          </cell>
          <cell r="HK58">
            <v>0</v>
          </cell>
          <cell r="HL58">
            <v>1.3822299999999998</v>
          </cell>
          <cell r="HM58">
            <v>2.56921</v>
          </cell>
          <cell r="HN58">
            <v>2.4156500000000003</v>
          </cell>
          <cell r="HO58">
            <v>0</v>
          </cell>
          <cell r="HP58">
            <v>0</v>
          </cell>
          <cell r="HQ58" t="str">
            <v>nd</v>
          </cell>
          <cell r="HR58" t="str">
            <v>nd</v>
          </cell>
          <cell r="HS58">
            <v>11.6092558</v>
          </cell>
          <cell r="HT58">
            <v>14.312241200000001</v>
          </cell>
          <cell r="HU58">
            <v>0</v>
          </cell>
          <cell r="HV58">
            <v>0</v>
          </cell>
          <cell r="HW58">
            <v>0</v>
          </cell>
          <cell r="HX58">
            <v>2.2283200000000001</v>
          </cell>
          <cell r="HY58">
            <v>25.8252983</v>
          </cell>
          <cell r="HZ58">
            <v>16.536562799999999</v>
          </cell>
          <cell r="IA58">
            <v>0</v>
          </cell>
          <cell r="IB58" t="str">
            <v>nd</v>
          </cell>
          <cell r="IC58">
            <v>0</v>
          </cell>
          <cell r="ID58" t="str">
            <v>nd</v>
          </cell>
          <cell r="IE58">
            <v>14.219421800000001</v>
          </cell>
          <cell r="IF58">
            <v>7.0104886000000004</v>
          </cell>
          <cell r="IG58">
            <v>0</v>
          </cell>
          <cell r="IH58" t="str">
            <v>nd</v>
          </cell>
          <cell r="II58">
            <v>0</v>
          </cell>
          <cell r="IJ58">
            <v>0</v>
          </cell>
          <cell r="IK58" t="str">
            <v>nd</v>
          </cell>
          <cell r="IL58">
            <v>0</v>
          </cell>
          <cell r="IM58">
            <v>0</v>
          </cell>
          <cell r="IN58" t="str">
            <v>nd</v>
          </cell>
          <cell r="IO58" t="str">
            <v>nd</v>
          </cell>
          <cell r="IP58">
            <v>1.8410599999999999</v>
          </cell>
          <cell r="IQ58">
            <v>4.4362400000000006</v>
          </cell>
          <cell r="IR58">
            <v>0</v>
          </cell>
          <cell r="IS58" t="str">
            <v>nd</v>
          </cell>
          <cell r="IT58">
            <v>0.61151900000000003</v>
          </cell>
          <cell r="IU58">
            <v>1.2879800000000001</v>
          </cell>
          <cell r="IV58">
            <v>13.6583861</v>
          </cell>
          <cell r="IW58">
            <v>11.591851699999999</v>
          </cell>
          <cell r="IX58" t="str">
            <v>nd</v>
          </cell>
          <cell r="IY58">
            <v>0</v>
          </cell>
          <cell r="IZ58" t="str">
            <v>nd</v>
          </cell>
          <cell r="JA58">
            <v>6.0153100000000004</v>
          </cell>
          <cell r="JB58">
            <v>23.218658699999999</v>
          </cell>
          <cell r="JC58">
            <v>13.421734099999998</v>
          </cell>
          <cell r="JD58">
            <v>0</v>
          </cell>
          <cell r="JE58">
            <v>0</v>
          </cell>
          <cell r="JF58">
            <v>0</v>
          </cell>
          <cell r="JG58">
            <v>2.6082999999999998</v>
          </cell>
          <cell r="JH58">
            <v>11.1394927</v>
          </cell>
          <cell r="JI58">
            <v>8.2049521999999993</v>
          </cell>
          <cell r="JJ58">
            <v>0</v>
          </cell>
          <cell r="JK58">
            <v>0</v>
          </cell>
          <cell r="JL58">
            <v>0</v>
          </cell>
          <cell r="JM58">
            <v>0</v>
          </cell>
          <cell r="JN58">
            <v>0.53922000000000003</v>
          </cell>
          <cell r="JO58">
            <v>0</v>
          </cell>
          <cell r="JP58">
            <v>0</v>
          </cell>
          <cell r="JQ58">
            <v>0</v>
          </cell>
          <cell r="JR58">
            <v>0</v>
          </cell>
          <cell r="JS58">
            <v>0</v>
          </cell>
          <cell r="JT58">
            <v>6.14025</v>
          </cell>
          <cell r="JU58">
            <v>0</v>
          </cell>
          <cell r="JV58">
            <v>0</v>
          </cell>
          <cell r="JW58">
            <v>0</v>
          </cell>
          <cell r="JX58">
            <v>0</v>
          </cell>
          <cell r="JY58" t="str">
            <v>nd</v>
          </cell>
          <cell r="JZ58">
            <v>25.704881899999997</v>
          </cell>
          <cell r="KA58">
            <v>0</v>
          </cell>
          <cell r="KB58">
            <v>0</v>
          </cell>
          <cell r="KC58">
            <v>0</v>
          </cell>
          <cell r="KD58">
            <v>0</v>
          </cell>
          <cell r="KE58">
            <v>1.9872899999999998</v>
          </cell>
          <cell r="KF58">
            <v>42.575029000000001</v>
          </cell>
          <cell r="KG58">
            <v>0</v>
          </cell>
          <cell r="KH58">
            <v>0</v>
          </cell>
          <cell r="KI58">
            <v>0</v>
          </cell>
          <cell r="KJ58">
            <v>0</v>
          </cell>
          <cell r="KK58">
            <v>0</v>
          </cell>
          <cell r="KL58">
            <v>22.1967754</v>
          </cell>
          <cell r="KM58">
            <v>74.7</v>
          </cell>
          <cell r="KN58">
            <v>8.9</v>
          </cell>
          <cell r="KO58">
            <v>4.8</v>
          </cell>
          <cell r="KP58">
            <v>5.8999999999999995</v>
          </cell>
          <cell r="KQ58">
            <v>5.5</v>
          </cell>
          <cell r="KR58">
            <v>0.1</v>
          </cell>
          <cell r="KS58">
            <v>73.7</v>
          </cell>
          <cell r="KT58">
            <v>9.1999999999999993</v>
          </cell>
          <cell r="KU58">
            <v>4.8</v>
          </cell>
          <cell r="KV58">
            <v>6.1</v>
          </cell>
          <cell r="KW58">
            <v>6.1</v>
          </cell>
          <cell r="KX58">
            <v>0.1</v>
          </cell>
          <cell r="KY58"/>
          <cell r="KZ58"/>
          <cell r="LA58"/>
          <cell r="LB58"/>
          <cell r="LC58"/>
          <cell r="LD58"/>
          <cell r="LE58"/>
          <cell r="LF58"/>
          <cell r="LG58"/>
          <cell r="LH58"/>
          <cell r="LI58"/>
          <cell r="LJ58"/>
          <cell r="LK58"/>
          <cell r="LL58"/>
          <cell r="LM58"/>
          <cell r="LN58"/>
          <cell r="LO58"/>
        </row>
        <row r="59">
          <cell r="A59" t="str">
            <v>3GZ</v>
          </cell>
          <cell r="B59" t="str">
            <v>59</v>
          </cell>
          <cell r="C59" t="str">
            <v>NAF 17</v>
          </cell>
          <cell r="D59" t="str">
            <v>GZ</v>
          </cell>
          <cell r="E59" t="str">
            <v>3</v>
          </cell>
          <cell r="F59">
            <v>0</v>
          </cell>
          <cell r="G59">
            <v>4.5999999999999996</v>
          </cell>
          <cell r="H59">
            <v>29.7</v>
          </cell>
          <cell r="I59">
            <v>44.2</v>
          </cell>
          <cell r="J59">
            <v>21.5</v>
          </cell>
          <cell r="K59">
            <v>62.1</v>
          </cell>
          <cell r="L59">
            <v>14.799999999999999</v>
          </cell>
          <cell r="M59">
            <v>18.3</v>
          </cell>
          <cell r="N59">
            <v>4.7</v>
          </cell>
          <cell r="O59">
            <v>21.6</v>
          </cell>
          <cell r="P59">
            <v>36.1</v>
          </cell>
          <cell r="Q59">
            <v>25.2</v>
          </cell>
          <cell r="R59">
            <v>10.6</v>
          </cell>
          <cell r="S59">
            <v>11.4</v>
          </cell>
          <cell r="T59">
            <v>24.3</v>
          </cell>
          <cell r="U59">
            <v>4.1000000000000005</v>
          </cell>
          <cell r="V59">
            <v>18.8</v>
          </cell>
          <cell r="W59">
            <v>8.3000000000000007</v>
          </cell>
          <cell r="X59">
            <v>84.2</v>
          </cell>
          <cell r="Y59">
            <v>7.5</v>
          </cell>
          <cell r="Z59">
            <v>6.4</v>
          </cell>
          <cell r="AA59">
            <v>28.199999999999996</v>
          </cell>
          <cell r="AB59" t="str">
            <v>nd</v>
          </cell>
          <cell r="AC59">
            <v>75.599999999999994</v>
          </cell>
          <cell r="AD59">
            <v>15.4</v>
          </cell>
          <cell r="AE59">
            <v>60.3</v>
          </cell>
          <cell r="AF59">
            <v>39.700000000000003</v>
          </cell>
          <cell r="AG59">
            <v>63.2</v>
          </cell>
          <cell r="AH59">
            <v>36.799999999999997</v>
          </cell>
          <cell r="AI59">
            <v>40.5</v>
          </cell>
          <cell r="AJ59">
            <v>8.1</v>
          </cell>
          <cell r="AK59">
            <v>2</v>
          </cell>
          <cell r="AL59">
            <v>46.300000000000004</v>
          </cell>
          <cell r="AM59">
            <v>3</v>
          </cell>
          <cell r="AN59">
            <v>3.6999999999999997</v>
          </cell>
          <cell r="AO59">
            <v>1.3</v>
          </cell>
          <cell r="AP59">
            <v>1.7000000000000002</v>
          </cell>
          <cell r="AQ59">
            <v>83</v>
          </cell>
          <cell r="AR59">
            <v>10.299999999999999</v>
          </cell>
          <cell r="AS59">
            <v>70</v>
          </cell>
          <cell r="AT59">
            <v>10.9</v>
          </cell>
          <cell r="AU59">
            <v>4.8</v>
          </cell>
          <cell r="AV59">
            <v>2.2999999999999998</v>
          </cell>
          <cell r="AW59">
            <v>3.4000000000000004</v>
          </cell>
          <cell r="AX59">
            <v>8.6</v>
          </cell>
          <cell r="AY59">
            <v>5.2</v>
          </cell>
          <cell r="AZ59">
            <v>4.3</v>
          </cell>
          <cell r="BA59">
            <v>4.5999999999999996</v>
          </cell>
          <cell r="BB59">
            <v>5.2</v>
          </cell>
          <cell r="BC59">
            <v>18.7</v>
          </cell>
          <cell r="BD59">
            <v>62</v>
          </cell>
          <cell r="BE59" t="str">
            <v>nd</v>
          </cell>
          <cell r="BF59">
            <v>0.6</v>
          </cell>
          <cell r="BG59" t="str">
            <v>nd</v>
          </cell>
          <cell r="BH59">
            <v>5.0999999999999996</v>
          </cell>
          <cell r="BI59">
            <v>30.8</v>
          </cell>
          <cell r="BJ59">
            <v>62.1</v>
          </cell>
          <cell r="BK59">
            <v>0</v>
          </cell>
          <cell r="BL59">
            <v>0</v>
          </cell>
          <cell r="BM59">
            <v>0</v>
          </cell>
          <cell r="BN59">
            <v>4.2</v>
          </cell>
          <cell r="BO59">
            <v>73.3</v>
          </cell>
          <cell r="BP59">
            <v>22.6</v>
          </cell>
          <cell r="BQ59">
            <v>0</v>
          </cell>
          <cell r="BR59">
            <v>0</v>
          </cell>
          <cell r="BS59">
            <v>0.8</v>
          </cell>
          <cell r="BT59">
            <v>14.499999999999998</v>
          </cell>
          <cell r="BU59">
            <v>60.699999999999996</v>
          </cell>
          <cell r="BV59">
            <v>24.099999999999998</v>
          </cell>
          <cell r="BW59">
            <v>0</v>
          </cell>
          <cell r="BX59">
            <v>0</v>
          </cell>
          <cell r="BY59">
            <v>0</v>
          </cell>
          <cell r="BZ59">
            <v>0</v>
          </cell>
          <cell r="CA59" t="str">
            <v>nd</v>
          </cell>
          <cell r="CB59">
            <v>99.6</v>
          </cell>
          <cell r="CC59">
            <v>29.9</v>
          </cell>
          <cell r="CD59">
            <v>12.1</v>
          </cell>
          <cell r="CE59" t="str">
            <v>nd</v>
          </cell>
          <cell r="CF59">
            <v>4</v>
          </cell>
          <cell r="CG59" t="str">
            <v>nd</v>
          </cell>
          <cell r="CH59">
            <v>18.099999999999998</v>
          </cell>
          <cell r="CI59">
            <v>7.0000000000000009</v>
          </cell>
          <cell r="CJ59">
            <v>51.2</v>
          </cell>
          <cell r="CK59">
            <v>27.500000000000004</v>
          </cell>
          <cell r="CL59">
            <v>4.3</v>
          </cell>
          <cell r="CM59">
            <v>2.1</v>
          </cell>
          <cell r="CN59">
            <v>0.70000000000000007</v>
          </cell>
          <cell r="CO59">
            <v>71.099999999999994</v>
          </cell>
          <cell r="CP59">
            <v>23.3</v>
          </cell>
          <cell r="CQ59">
            <v>39.4</v>
          </cell>
          <cell r="CR59">
            <v>9.3000000000000007</v>
          </cell>
          <cell r="CS59">
            <v>28.000000000000004</v>
          </cell>
          <cell r="CT59">
            <v>17.5</v>
          </cell>
          <cell r="CU59">
            <v>82.5</v>
          </cell>
          <cell r="CV59">
            <v>23.5</v>
          </cell>
          <cell r="CW59">
            <v>76.5</v>
          </cell>
          <cell r="CX59">
            <v>37</v>
          </cell>
          <cell r="CY59">
            <v>40.699999999999996</v>
          </cell>
          <cell r="CZ59">
            <v>22.3</v>
          </cell>
          <cell r="DA59">
            <v>65</v>
          </cell>
          <cell r="DB59">
            <v>5.0999999999999996</v>
          </cell>
          <cell r="DC59">
            <v>37.299999999999997</v>
          </cell>
          <cell r="DD59" t="str">
            <v>nd</v>
          </cell>
          <cell r="DE59">
            <v>23.9</v>
          </cell>
          <cell r="DF59">
            <v>28.1</v>
          </cell>
          <cell r="DG59">
            <v>9.9</v>
          </cell>
          <cell r="DH59">
            <v>14.399999999999999</v>
          </cell>
          <cell r="DI59">
            <v>10.199999999999999</v>
          </cell>
          <cell r="DJ59">
            <v>12.2</v>
          </cell>
          <cell r="DK59">
            <v>25.1</v>
          </cell>
          <cell r="DL59">
            <v>27.400000000000002</v>
          </cell>
          <cell r="DM59">
            <v>32.1</v>
          </cell>
          <cell r="DN59">
            <v>6.8000000000000007</v>
          </cell>
          <cell r="DO59">
            <v>19.600000000000001</v>
          </cell>
          <cell r="DP59">
            <v>6.7</v>
          </cell>
          <cell r="DQ59">
            <v>1</v>
          </cell>
          <cell r="DR59">
            <v>15.8</v>
          </cell>
          <cell r="DS59">
            <v>15.1</v>
          </cell>
          <cell r="DT59">
            <v>16.8</v>
          </cell>
          <cell r="DU59">
            <v>0</v>
          </cell>
          <cell r="DV59">
            <v>0</v>
          </cell>
          <cell r="DW59">
            <v>0</v>
          </cell>
          <cell r="DX59">
            <v>0</v>
          </cell>
          <cell r="DY59">
            <v>0</v>
          </cell>
          <cell r="DZ59">
            <v>2.2637100000000001</v>
          </cell>
          <cell r="EA59">
            <v>0.75788599999999995</v>
          </cell>
          <cell r="EB59">
            <v>0.43998900000000002</v>
          </cell>
          <cell r="EC59" t="str">
            <v>nd</v>
          </cell>
          <cell r="ED59" t="str">
            <v>nd</v>
          </cell>
          <cell r="EE59" t="str">
            <v>nd</v>
          </cell>
          <cell r="EF59">
            <v>14.074415000000002</v>
          </cell>
          <cell r="EG59">
            <v>6.7492010000000002</v>
          </cell>
          <cell r="EH59">
            <v>3.8832800000000001</v>
          </cell>
          <cell r="EI59">
            <v>1.1548799999999999</v>
          </cell>
          <cell r="EJ59">
            <v>1.44496</v>
          </cell>
          <cell r="EK59">
            <v>2.2405600000000003</v>
          </cell>
          <cell r="EL59">
            <v>36.260949400000001</v>
          </cell>
          <cell r="EM59">
            <v>2.3090600000000001</v>
          </cell>
          <cell r="EN59">
            <v>0.32588200000000001</v>
          </cell>
          <cell r="EO59">
            <v>0.60455500000000006</v>
          </cell>
          <cell r="EP59">
            <v>1.48926</v>
          </cell>
          <cell r="EQ59">
            <v>2.93973</v>
          </cell>
          <cell r="ER59">
            <v>17.379989300000002</v>
          </cell>
          <cell r="ES59">
            <v>1.0805899999999999</v>
          </cell>
          <cell r="ET59" t="str">
            <v>nd</v>
          </cell>
          <cell r="EU59" t="str">
            <v>nd</v>
          </cell>
          <cell r="EV59">
            <v>0</v>
          </cell>
          <cell r="EW59">
            <v>3.2124199999999998</v>
          </cell>
          <cell r="EX59">
            <v>0</v>
          </cell>
          <cell r="EY59">
            <v>0</v>
          </cell>
          <cell r="EZ59">
            <v>0</v>
          </cell>
          <cell r="FA59">
            <v>0</v>
          </cell>
          <cell r="FB59">
            <v>0</v>
          </cell>
          <cell r="FC59">
            <v>0.30666399999999999</v>
          </cell>
          <cell r="FD59" t="str">
            <v>nd</v>
          </cell>
          <cell r="FE59">
            <v>0.36448000000000003</v>
          </cell>
          <cell r="FF59" t="str">
            <v>nd</v>
          </cell>
          <cell r="FG59">
            <v>2.7759200000000002</v>
          </cell>
          <cell r="FH59">
            <v>0.91210000000000002</v>
          </cell>
          <cell r="FI59">
            <v>1.8896900000000001</v>
          </cell>
          <cell r="FJ59">
            <v>2.3749699999999998</v>
          </cell>
          <cell r="FK59">
            <v>3.7461000000000002</v>
          </cell>
          <cell r="FL59">
            <v>2.6540500000000002</v>
          </cell>
          <cell r="FM59">
            <v>8.2492756000000007</v>
          </cell>
          <cell r="FN59">
            <v>10.531806000000001</v>
          </cell>
          <cell r="FO59">
            <v>2.84653</v>
          </cell>
          <cell r="FP59">
            <v>1.2405200000000001</v>
          </cell>
          <cell r="FQ59">
            <v>0.24374000000000001</v>
          </cell>
          <cell r="FR59">
            <v>1.0108000000000001</v>
          </cell>
          <cell r="FS59">
            <v>4.8942199999999998</v>
          </cell>
          <cell r="FT59">
            <v>34.428512100000006</v>
          </cell>
          <cell r="FU59" t="str">
            <v>nd</v>
          </cell>
          <cell r="FV59">
            <v>0.58293899999999998</v>
          </cell>
          <cell r="FW59" t="str">
            <v>nd</v>
          </cell>
          <cell r="FX59">
            <v>1.3199700000000001</v>
          </cell>
          <cell r="FY59">
            <v>2.88978</v>
          </cell>
          <cell r="FZ59">
            <v>16.080981399999999</v>
          </cell>
          <cell r="GA59">
            <v>0</v>
          </cell>
          <cell r="GB59">
            <v>0</v>
          </cell>
          <cell r="GC59">
            <v>0</v>
          </cell>
          <cell r="GD59">
            <v>0</v>
          </cell>
          <cell r="GE59">
            <v>0</v>
          </cell>
          <cell r="GF59">
            <v>0</v>
          </cell>
          <cell r="GG59" t="str">
            <v>nd</v>
          </cell>
          <cell r="GH59">
            <v>0</v>
          </cell>
          <cell r="GI59">
            <v>1.30968</v>
          </cell>
          <cell r="GJ59">
            <v>0.84855000000000003</v>
          </cell>
          <cell r="GK59">
            <v>2.1749200000000002</v>
          </cell>
          <cell r="GL59" t="str">
            <v>nd</v>
          </cell>
          <cell r="GM59" t="str">
            <v>nd</v>
          </cell>
          <cell r="GN59" t="str">
            <v>nd</v>
          </cell>
          <cell r="GO59">
            <v>2.8553800000000003</v>
          </cell>
          <cell r="GP59">
            <v>10.6909814</v>
          </cell>
          <cell r="GQ59">
            <v>15.4849113</v>
          </cell>
          <cell r="GR59" t="str">
            <v>nd</v>
          </cell>
          <cell r="GS59">
            <v>0</v>
          </cell>
          <cell r="GT59">
            <v>0</v>
          </cell>
          <cell r="GU59" t="str">
            <v>nd</v>
          </cell>
          <cell r="GV59">
            <v>10.442431000000001</v>
          </cell>
          <cell r="GW59">
            <v>32.568004600000002</v>
          </cell>
          <cell r="GX59">
            <v>0</v>
          </cell>
          <cell r="GY59" t="str">
            <v>nd</v>
          </cell>
          <cell r="GZ59" t="str">
            <v>nd</v>
          </cell>
          <cell r="HA59" t="str">
            <v>nd</v>
          </cell>
          <cell r="HB59">
            <v>8.8754830000000009</v>
          </cell>
          <cell r="HC59">
            <v>11.8149908</v>
          </cell>
          <cell r="HD59">
            <v>0</v>
          </cell>
          <cell r="HE59">
            <v>0</v>
          </cell>
          <cell r="HF59">
            <v>0</v>
          </cell>
          <cell r="HG59">
            <v>0</v>
          </cell>
          <cell r="HH59">
            <v>0</v>
          </cell>
          <cell r="HI59">
            <v>0</v>
          </cell>
          <cell r="HJ59">
            <v>0</v>
          </cell>
          <cell r="HK59">
            <v>0</v>
          </cell>
          <cell r="HL59" t="str">
            <v>nd</v>
          </cell>
          <cell r="HM59">
            <v>3.3273099999999998</v>
          </cell>
          <cell r="HN59">
            <v>1.03661</v>
          </cell>
          <cell r="HO59">
            <v>0</v>
          </cell>
          <cell r="HP59">
            <v>0</v>
          </cell>
          <cell r="HQ59">
            <v>0</v>
          </cell>
          <cell r="HR59">
            <v>1.1942899999999999</v>
          </cell>
          <cell r="HS59">
            <v>22.5723254</v>
          </cell>
          <cell r="HT59">
            <v>5.8700700000000001</v>
          </cell>
          <cell r="HU59">
            <v>0</v>
          </cell>
          <cell r="HV59">
            <v>0</v>
          </cell>
          <cell r="HW59">
            <v>0</v>
          </cell>
          <cell r="HX59">
            <v>1.4407300000000001</v>
          </cell>
          <cell r="HY59">
            <v>30.7519612</v>
          </cell>
          <cell r="HZ59">
            <v>11.6526578</v>
          </cell>
          <cell r="IA59">
            <v>0</v>
          </cell>
          <cell r="IB59">
            <v>0</v>
          </cell>
          <cell r="IC59">
            <v>0</v>
          </cell>
          <cell r="ID59">
            <v>1.3657999999999999</v>
          </cell>
          <cell r="IE59">
            <v>16.763788499999997</v>
          </cell>
          <cell r="IF59">
            <v>3.85961</v>
          </cell>
          <cell r="IG59">
            <v>0</v>
          </cell>
          <cell r="IH59">
            <v>0</v>
          </cell>
          <cell r="II59">
            <v>0</v>
          </cell>
          <cell r="IJ59">
            <v>0</v>
          </cell>
          <cell r="IK59">
            <v>0</v>
          </cell>
          <cell r="IL59">
            <v>0</v>
          </cell>
          <cell r="IM59">
            <v>0</v>
          </cell>
          <cell r="IN59" t="str">
            <v>nd</v>
          </cell>
          <cell r="IO59" t="str">
            <v>nd</v>
          </cell>
          <cell r="IP59">
            <v>3.4771900000000002</v>
          </cell>
          <cell r="IQ59" t="str">
            <v>nd</v>
          </cell>
          <cell r="IR59">
            <v>0</v>
          </cell>
          <cell r="IS59">
            <v>0</v>
          </cell>
          <cell r="IT59">
            <v>0</v>
          </cell>
          <cell r="IU59">
            <v>3.0316300000000003</v>
          </cell>
          <cell r="IV59">
            <v>20.7714122</v>
          </cell>
          <cell r="IW59">
            <v>5.9174800000000003</v>
          </cell>
          <cell r="IX59">
            <v>0</v>
          </cell>
          <cell r="IY59">
            <v>0</v>
          </cell>
          <cell r="IZ59" t="str">
            <v>nd</v>
          </cell>
          <cell r="JA59">
            <v>6.8015229999999995</v>
          </cell>
          <cell r="JB59">
            <v>25.5953561</v>
          </cell>
          <cell r="JC59">
            <v>11.352702000000001</v>
          </cell>
          <cell r="JD59">
            <v>0</v>
          </cell>
          <cell r="JE59">
            <v>0</v>
          </cell>
          <cell r="JF59" t="str">
            <v>nd</v>
          </cell>
          <cell r="JG59">
            <v>4.43452</v>
          </cell>
          <cell r="JH59">
            <v>10.927216899999999</v>
          </cell>
          <cell r="JI59">
            <v>6.2460100000000001</v>
          </cell>
          <cell r="JJ59">
            <v>0</v>
          </cell>
          <cell r="JK59">
            <v>0</v>
          </cell>
          <cell r="JL59">
            <v>0</v>
          </cell>
          <cell r="JM59">
            <v>0</v>
          </cell>
          <cell r="JN59">
            <v>0</v>
          </cell>
          <cell r="JO59">
            <v>0</v>
          </cell>
          <cell r="JP59">
            <v>0</v>
          </cell>
          <cell r="JQ59">
            <v>0</v>
          </cell>
          <cell r="JR59">
            <v>0</v>
          </cell>
          <cell r="JS59">
            <v>0</v>
          </cell>
          <cell r="JT59">
            <v>4.4859099999999996</v>
          </cell>
          <cell r="JU59">
            <v>0</v>
          </cell>
          <cell r="JV59">
            <v>0</v>
          </cell>
          <cell r="JW59">
            <v>0</v>
          </cell>
          <cell r="JX59">
            <v>0</v>
          </cell>
          <cell r="JY59" t="str">
            <v>nd</v>
          </cell>
          <cell r="JZ59">
            <v>29.159845000000001</v>
          </cell>
          <cell r="KA59">
            <v>0</v>
          </cell>
          <cell r="KB59">
            <v>0</v>
          </cell>
          <cell r="KC59">
            <v>0</v>
          </cell>
          <cell r="KD59">
            <v>0</v>
          </cell>
          <cell r="KE59" t="str">
            <v>nd</v>
          </cell>
          <cell r="KF59">
            <v>44.033361499999998</v>
          </cell>
          <cell r="KG59">
            <v>0</v>
          </cell>
          <cell r="KH59">
            <v>0</v>
          </cell>
          <cell r="KI59">
            <v>0</v>
          </cell>
          <cell r="KJ59">
            <v>0</v>
          </cell>
          <cell r="KK59">
            <v>0</v>
          </cell>
          <cell r="KL59">
            <v>21.876797799999999</v>
          </cell>
          <cell r="KM59">
            <v>70.099999999999994</v>
          </cell>
          <cell r="KN59">
            <v>10.5</v>
          </cell>
          <cell r="KO59">
            <v>5.2</v>
          </cell>
          <cell r="KP59">
            <v>7.3</v>
          </cell>
          <cell r="KQ59">
            <v>7.0000000000000009</v>
          </cell>
          <cell r="KR59">
            <v>0</v>
          </cell>
          <cell r="KS59">
            <v>68.8</v>
          </cell>
          <cell r="KT59">
            <v>10.5</v>
          </cell>
          <cell r="KU59">
            <v>5.5</v>
          </cell>
          <cell r="KV59">
            <v>7.3999999999999995</v>
          </cell>
          <cell r="KW59">
            <v>7.8</v>
          </cell>
          <cell r="KX59">
            <v>0</v>
          </cell>
          <cell r="KY59"/>
          <cell r="KZ59"/>
          <cell r="LA59"/>
          <cell r="LB59"/>
          <cell r="LC59"/>
          <cell r="LD59"/>
          <cell r="LE59"/>
          <cell r="LF59"/>
          <cell r="LG59"/>
          <cell r="LH59"/>
          <cell r="LI59"/>
          <cell r="LJ59"/>
          <cell r="LK59"/>
          <cell r="LL59"/>
          <cell r="LM59"/>
          <cell r="LN59"/>
          <cell r="LO59"/>
        </row>
        <row r="60">
          <cell r="A60" t="str">
            <v>4GZ</v>
          </cell>
          <cell r="B60" t="str">
            <v>60</v>
          </cell>
          <cell r="C60" t="str">
            <v>NAF 17</v>
          </cell>
          <cell r="D60" t="str">
            <v>GZ</v>
          </cell>
          <cell r="E60" t="str">
            <v>4</v>
          </cell>
          <cell r="F60">
            <v>1.4000000000000001</v>
          </cell>
          <cell r="G60">
            <v>3.4000000000000004</v>
          </cell>
          <cell r="H60">
            <v>31</v>
          </cell>
          <cell r="I60">
            <v>45.4</v>
          </cell>
          <cell r="J60">
            <v>18.8</v>
          </cell>
          <cell r="K60">
            <v>65.100000000000009</v>
          </cell>
          <cell r="L60">
            <v>13.600000000000001</v>
          </cell>
          <cell r="M60">
            <v>13.100000000000001</v>
          </cell>
          <cell r="N60">
            <v>8.2000000000000011</v>
          </cell>
          <cell r="O60">
            <v>22.5</v>
          </cell>
          <cell r="P60">
            <v>25.900000000000002</v>
          </cell>
          <cell r="Q60">
            <v>24.6</v>
          </cell>
          <cell r="R60">
            <v>9.9</v>
          </cell>
          <cell r="S60">
            <v>10</v>
          </cell>
          <cell r="T60">
            <v>26.6</v>
          </cell>
          <cell r="U60">
            <v>5.6000000000000005</v>
          </cell>
          <cell r="V60">
            <v>24.6</v>
          </cell>
          <cell r="W60">
            <v>9.9</v>
          </cell>
          <cell r="X60">
            <v>76.3</v>
          </cell>
          <cell r="Y60">
            <v>13.8</v>
          </cell>
          <cell r="Z60" t="str">
            <v>nd</v>
          </cell>
          <cell r="AA60">
            <v>48.9</v>
          </cell>
          <cell r="AB60">
            <v>9.1</v>
          </cell>
          <cell r="AC60">
            <v>77.3</v>
          </cell>
          <cell r="AD60">
            <v>15.9</v>
          </cell>
          <cell r="AE60">
            <v>62.4</v>
          </cell>
          <cell r="AF60">
            <v>37.6</v>
          </cell>
          <cell r="AG60">
            <v>72.5</v>
          </cell>
          <cell r="AH60">
            <v>27.500000000000004</v>
          </cell>
          <cell r="AI60">
            <v>35.5</v>
          </cell>
          <cell r="AJ60">
            <v>1.6</v>
          </cell>
          <cell r="AK60">
            <v>2.1</v>
          </cell>
          <cell r="AL60">
            <v>54.900000000000006</v>
          </cell>
          <cell r="AM60">
            <v>5.8000000000000007</v>
          </cell>
          <cell r="AN60">
            <v>9.6</v>
          </cell>
          <cell r="AO60">
            <v>2.1</v>
          </cell>
          <cell r="AP60">
            <v>1.7999999999999998</v>
          </cell>
          <cell r="AQ60">
            <v>79</v>
          </cell>
          <cell r="AR60">
            <v>7.5</v>
          </cell>
          <cell r="AS60">
            <v>68.5</v>
          </cell>
          <cell r="AT60">
            <v>10.8</v>
          </cell>
          <cell r="AU60">
            <v>5.7</v>
          </cell>
          <cell r="AV60">
            <v>6.2</v>
          </cell>
          <cell r="AW60">
            <v>2.9000000000000004</v>
          </cell>
          <cell r="AX60">
            <v>6</v>
          </cell>
          <cell r="AY60">
            <v>4.5999999999999996</v>
          </cell>
          <cell r="AZ60">
            <v>6.6000000000000005</v>
          </cell>
          <cell r="BA60">
            <v>6.5</v>
          </cell>
          <cell r="BB60">
            <v>9.4</v>
          </cell>
          <cell r="BC60">
            <v>22.7</v>
          </cell>
          <cell r="BD60">
            <v>50.2</v>
          </cell>
          <cell r="BE60">
            <v>1.7000000000000002</v>
          </cell>
          <cell r="BF60">
            <v>0</v>
          </cell>
          <cell r="BG60">
            <v>1.6</v>
          </cell>
          <cell r="BH60">
            <v>3.8</v>
          </cell>
          <cell r="BI60">
            <v>34.799999999999997</v>
          </cell>
          <cell r="BJ60">
            <v>58.199999999999996</v>
          </cell>
          <cell r="BK60">
            <v>0</v>
          </cell>
          <cell r="BL60">
            <v>0</v>
          </cell>
          <cell r="BM60" t="str">
            <v>nd</v>
          </cell>
          <cell r="BN60">
            <v>8.3000000000000007</v>
          </cell>
          <cell r="BO60">
            <v>78.400000000000006</v>
          </cell>
          <cell r="BP60">
            <v>13</v>
          </cell>
          <cell r="BQ60">
            <v>0</v>
          </cell>
          <cell r="BR60">
            <v>0</v>
          </cell>
          <cell r="BS60" t="str">
            <v>nd</v>
          </cell>
          <cell r="BT60">
            <v>9.8000000000000007</v>
          </cell>
          <cell r="BU60">
            <v>66.900000000000006</v>
          </cell>
          <cell r="BV60">
            <v>22.6</v>
          </cell>
          <cell r="BW60">
            <v>0</v>
          </cell>
          <cell r="BX60">
            <v>0</v>
          </cell>
          <cell r="BY60">
            <v>0</v>
          </cell>
          <cell r="BZ60">
            <v>0</v>
          </cell>
          <cell r="CA60">
            <v>2.4</v>
          </cell>
          <cell r="CB60">
            <v>97.6</v>
          </cell>
          <cell r="CC60">
            <v>36.5</v>
          </cell>
          <cell r="CD60">
            <v>11</v>
          </cell>
          <cell r="CE60">
            <v>1.0999999999999999</v>
          </cell>
          <cell r="CF60">
            <v>2.2999999999999998</v>
          </cell>
          <cell r="CG60">
            <v>0.89999999999999991</v>
          </cell>
          <cell r="CH60">
            <v>19.900000000000002</v>
          </cell>
          <cell r="CI60">
            <v>8.6</v>
          </cell>
          <cell r="CJ60">
            <v>44</v>
          </cell>
          <cell r="CK60">
            <v>30.9</v>
          </cell>
          <cell r="CL60">
            <v>2.8000000000000003</v>
          </cell>
          <cell r="CM60">
            <v>1.0999999999999999</v>
          </cell>
          <cell r="CN60">
            <v>0.8</v>
          </cell>
          <cell r="CO60">
            <v>66.900000000000006</v>
          </cell>
          <cell r="CP60">
            <v>20.9</v>
          </cell>
          <cell r="CQ60">
            <v>33.6</v>
          </cell>
          <cell r="CR60">
            <v>8.6</v>
          </cell>
          <cell r="CS60">
            <v>36.9</v>
          </cell>
          <cell r="CT60">
            <v>18.5</v>
          </cell>
          <cell r="CU60">
            <v>81.5</v>
          </cell>
          <cell r="CV60">
            <v>26.5</v>
          </cell>
          <cell r="CW60">
            <v>73.5</v>
          </cell>
          <cell r="CX60">
            <v>32.300000000000004</v>
          </cell>
          <cell r="CY60">
            <v>41.8</v>
          </cell>
          <cell r="CZ60">
            <v>25.900000000000002</v>
          </cell>
          <cell r="DA60">
            <v>53</v>
          </cell>
          <cell r="DB60">
            <v>8.4</v>
          </cell>
          <cell r="DC60">
            <v>26</v>
          </cell>
          <cell r="DD60" t="str">
            <v>nd</v>
          </cell>
          <cell r="DE60">
            <v>31.1</v>
          </cell>
          <cell r="DF60">
            <v>25.900000000000002</v>
          </cell>
          <cell r="DG60">
            <v>9.3000000000000007</v>
          </cell>
          <cell r="DH60">
            <v>15.9</v>
          </cell>
          <cell r="DI60">
            <v>9.6</v>
          </cell>
          <cell r="DJ60">
            <v>16.100000000000001</v>
          </cell>
          <cell r="DK60">
            <v>23.3</v>
          </cell>
          <cell r="DL60">
            <v>30</v>
          </cell>
          <cell r="DM60">
            <v>29.5</v>
          </cell>
          <cell r="DN60">
            <v>6.7</v>
          </cell>
          <cell r="DO60">
            <v>21.2</v>
          </cell>
          <cell r="DP60">
            <v>5.6000000000000005</v>
          </cell>
          <cell r="DQ60">
            <v>2.7</v>
          </cell>
          <cell r="DR60">
            <v>15</v>
          </cell>
          <cell r="DS60">
            <v>19.2</v>
          </cell>
          <cell r="DT60">
            <v>14.899999999999999</v>
          </cell>
          <cell r="DU60" t="str">
            <v>nd</v>
          </cell>
          <cell r="DV60">
            <v>0</v>
          </cell>
          <cell r="DW60">
            <v>0</v>
          </cell>
          <cell r="DX60">
            <v>0</v>
          </cell>
          <cell r="DY60" t="str">
            <v>nd</v>
          </cell>
          <cell r="DZ60">
            <v>0.45359700000000003</v>
          </cell>
          <cell r="EA60">
            <v>1.1596600000000001</v>
          </cell>
          <cell r="EB60">
            <v>1.3673899999999999</v>
          </cell>
          <cell r="EC60" t="str">
            <v>nd</v>
          </cell>
          <cell r="ED60" t="str">
            <v>nd</v>
          </cell>
          <cell r="EE60">
            <v>0</v>
          </cell>
          <cell r="EF60">
            <v>17.0103945</v>
          </cell>
          <cell r="EG60">
            <v>4.65646</v>
          </cell>
          <cell r="EH60">
            <v>2.7465699999999997</v>
          </cell>
          <cell r="EI60">
            <v>3.2585700000000002</v>
          </cell>
          <cell r="EJ60">
            <v>1.30786</v>
          </cell>
          <cell r="EK60">
            <v>1.8033199999999998</v>
          </cell>
          <cell r="EL60">
            <v>35.768471099999999</v>
          </cell>
          <cell r="EM60">
            <v>3.19495</v>
          </cell>
          <cell r="EN60">
            <v>1.06548</v>
          </cell>
          <cell r="EO60">
            <v>2.0278299999999998</v>
          </cell>
          <cell r="EP60">
            <v>0.93290000000000006</v>
          </cell>
          <cell r="EQ60">
            <v>2.2723599999999999</v>
          </cell>
          <cell r="ER60">
            <v>14.944988200000001</v>
          </cell>
          <cell r="ES60">
            <v>1.8373699999999999</v>
          </cell>
          <cell r="ET60" t="str">
            <v>nd</v>
          </cell>
          <cell r="EU60" t="str">
            <v>nd</v>
          </cell>
          <cell r="EV60" t="str">
            <v>nd</v>
          </cell>
          <cell r="EW60">
            <v>0.70969300000000002</v>
          </cell>
          <cell r="EX60">
            <v>0</v>
          </cell>
          <cell r="EY60" t="str">
            <v>nd</v>
          </cell>
          <cell r="EZ60">
            <v>0</v>
          </cell>
          <cell r="FA60">
            <v>0</v>
          </cell>
          <cell r="FB60" t="str">
            <v>nd</v>
          </cell>
          <cell r="FC60">
            <v>0</v>
          </cell>
          <cell r="FD60">
            <v>0.76416499999999998</v>
          </cell>
          <cell r="FE60">
            <v>0</v>
          </cell>
          <cell r="FF60">
            <v>0.80897999999999992</v>
          </cell>
          <cell r="FG60">
            <v>0.49479600000000001</v>
          </cell>
          <cell r="FH60">
            <v>1.47784</v>
          </cell>
          <cell r="FI60">
            <v>2.7132399999999999</v>
          </cell>
          <cell r="FJ60">
            <v>4.0460200000000004</v>
          </cell>
          <cell r="FK60">
            <v>2.7841299999999998</v>
          </cell>
          <cell r="FL60">
            <v>3.11565</v>
          </cell>
          <cell r="FM60">
            <v>7.6168361000000004</v>
          </cell>
          <cell r="FN60">
            <v>10.945711599999999</v>
          </cell>
          <cell r="FO60">
            <v>1.6477300000000001</v>
          </cell>
          <cell r="FP60">
            <v>1.2650399999999999</v>
          </cell>
          <cell r="FQ60">
            <v>2.8208799999999998</v>
          </cell>
          <cell r="FR60">
            <v>3.6502100000000004</v>
          </cell>
          <cell r="FS60">
            <v>10.038574499999999</v>
          </cell>
          <cell r="FT60">
            <v>25.954825999999997</v>
          </cell>
          <cell r="FU60" t="str">
            <v>nd</v>
          </cell>
          <cell r="FV60">
            <v>0.569936</v>
          </cell>
          <cell r="FW60">
            <v>0.9303300000000001</v>
          </cell>
          <cell r="FX60">
            <v>1.8018800000000001</v>
          </cell>
          <cell r="FY60">
            <v>3.5207700000000002</v>
          </cell>
          <cell r="FZ60">
            <v>11.3936128</v>
          </cell>
          <cell r="GA60" t="str">
            <v>nd</v>
          </cell>
          <cell r="GB60" t="str">
            <v>nd</v>
          </cell>
          <cell r="GC60">
            <v>0</v>
          </cell>
          <cell r="GD60">
            <v>0</v>
          </cell>
          <cell r="GE60">
            <v>0</v>
          </cell>
          <cell r="GF60" t="str">
            <v>nd</v>
          </cell>
          <cell r="GG60">
            <v>0</v>
          </cell>
          <cell r="GH60" t="str">
            <v>nd</v>
          </cell>
          <cell r="GI60">
            <v>0.88185000000000002</v>
          </cell>
          <cell r="GJ60">
            <v>0.70422099999999999</v>
          </cell>
          <cell r="GK60">
            <v>0.8565100000000001</v>
          </cell>
          <cell r="GL60" t="str">
            <v>nd</v>
          </cell>
          <cell r="GM60">
            <v>0</v>
          </cell>
          <cell r="GN60" t="str">
            <v>nd</v>
          </cell>
          <cell r="GO60">
            <v>2.10778</v>
          </cell>
          <cell r="GP60">
            <v>11.3360539</v>
          </cell>
          <cell r="GQ60">
            <v>16.881755600000002</v>
          </cell>
          <cell r="GR60">
            <v>0</v>
          </cell>
          <cell r="GS60">
            <v>0</v>
          </cell>
          <cell r="GT60" t="str">
            <v>nd</v>
          </cell>
          <cell r="GU60">
            <v>0.63836500000000007</v>
          </cell>
          <cell r="GV60">
            <v>14.036255499999999</v>
          </cell>
          <cell r="GW60">
            <v>30.503929600000003</v>
          </cell>
          <cell r="GX60">
            <v>0</v>
          </cell>
          <cell r="GY60">
            <v>0</v>
          </cell>
          <cell r="GZ60" t="str">
            <v>nd</v>
          </cell>
          <cell r="HA60" t="str">
            <v>nd</v>
          </cell>
          <cell r="HB60">
            <v>8.6837221000000007</v>
          </cell>
          <cell r="HC60">
            <v>9.7109664999999996</v>
          </cell>
          <cell r="HD60">
            <v>0</v>
          </cell>
          <cell r="HE60">
            <v>1.4510800000000001</v>
          </cell>
          <cell r="HF60">
            <v>0</v>
          </cell>
          <cell r="HG60">
            <v>0</v>
          </cell>
          <cell r="HH60">
            <v>0</v>
          </cell>
          <cell r="HI60">
            <v>0</v>
          </cell>
          <cell r="HJ60">
            <v>0</v>
          </cell>
          <cell r="HK60">
            <v>0</v>
          </cell>
          <cell r="HL60" t="str">
            <v>nd</v>
          </cell>
          <cell r="HM60">
            <v>2.78112</v>
          </cell>
          <cell r="HN60" t="str">
            <v>nd</v>
          </cell>
          <cell r="HO60">
            <v>0</v>
          </cell>
          <cell r="HP60">
            <v>0</v>
          </cell>
          <cell r="HQ60" t="str">
            <v>nd</v>
          </cell>
          <cell r="HR60">
            <v>3.0181199999999997</v>
          </cell>
          <cell r="HS60">
            <v>23.202321099999999</v>
          </cell>
          <cell r="HT60">
            <v>4.0170300000000001</v>
          </cell>
          <cell r="HU60">
            <v>0</v>
          </cell>
          <cell r="HV60">
            <v>0</v>
          </cell>
          <cell r="HW60">
            <v>0</v>
          </cell>
          <cell r="HX60">
            <v>3.44468</v>
          </cell>
          <cell r="HY60">
            <v>34.922477100000002</v>
          </cell>
          <cell r="HZ60">
            <v>7.7391184000000006</v>
          </cell>
          <cell r="IA60">
            <v>0</v>
          </cell>
          <cell r="IB60">
            <v>0</v>
          </cell>
          <cell r="IC60" t="str">
            <v>nd</v>
          </cell>
          <cell r="ID60">
            <v>1.29816</v>
          </cell>
          <cell r="IE60">
            <v>16.286333599999999</v>
          </cell>
          <cell r="IF60">
            <v>0.98288999999999993</v>
          </cell>
          <cell r="IG60">
            <v>0</v>
          </cell>
          <cell r="IH60" t="str">
            <v>nd</v>
          </cell>
          <cell r="II60" t="str">
            <v>nd</v>
          </cell>
          <cell r="IJ60">
            <v>0</v>
          </cell>
          <cell r="IK60" t="str">
            <v>nd</v>
          </cell>
          <cell r="IL60">
            <v>0</v>
          </cell>
          <cell r="IM60">
            <v>0</v>
          </cell>
          <cell r="IN60" t="str">
            <v>nd</v>
          </cell>
          <cell r="IO60" t="str">
            <v>nd</v>
          </cell>
          <cell r="IP60">
            <v>2.48563</v>
          </cell>
          <cell r="IQ60">
            <v>0.404586</v>
          </cell>
          <cell r="IR60">
            <v>0</v>
          </cell>
          <cell r="IS60">
            <v>0</v>
          </cell>
          <cell r="IT60">
            <v>0</v>
          </cell>
          <cell r="IU60">
            <v>1.5499099999999999</v>
          </cell>
          <cell r="IV60">
            <v>20.0434476</v>
          </cell>
          <cell r="IW60">
            <v>9.5524273000000015</v>
          </cell>
          <cell r="IX60">
            <v>0</v>
          </cell>
          <cell r="IY60">
            <v>0</v>
          </cell>
          <cell r="IZ60">
            <v>0</v>
          </cell>
          <cell r="JA60">
            <v>5.9045300000000003</v>
          </cell>
          <cell r="JB60">
            <v>32.230317100000001</v>
          </cell>
          <cell r="JC60">
            <v>7.2314568999999995</v>
          </cell>
          <cell r="JD60">
            <v>0</v>
          </cell>
          <cell r="JE60">
            <v>0</v>
          </cell>
          <cell r="JF60">
            <v>0</v>
          </cell>
          <cell r="JG60">
            <v>1.7343899999999999</v>
          </cell>
          <cell r="JH60">
            <v>12.3262129</v>
          </cell>
          <cell r="JI60">
            <v>4.4260299999999999</v>
          </cell>
          <cell r="JJ60">
            <v>0</v>
          </cell>
          <cell r="JK60">
            <v>0</v>
          </cell>
          <cell r="JL60">
            <v>0</v>
          </cell>
          <cell r="JM60">
            <v>0</v>
          </cell>
          <cell r="JN60">
            <v>1.4436</v>
          </cell>
          <cell r="JO60">
            <v>0</v>
          </cell>
          <cell r="JP60">
            <v>0</v>
          </cell>
          <cell r="JQ60">
            <v>0</v>
          </cell>
          <cell r="JR60">
            <v>0</v>
          </cell>
          <cell r="JS60">
            <v>0</v>
          </cell>
          <cell r="JT60">
            <v>3.4620299999999999</v>
          </cell>
          <cell r="JU60">
            <v>0</v>
          </cell>
          <cell r="JV60">
            <v>0</v>
          </cell>
          <cell r="JW60">
            <v>0</v>
          </cell>
          <cell r="JX60">
            <v>0</v>
          </cell>
          <cell r="JY60" t="str">
            <v>nd</v>
          </cell>
          <cell r="JZ60">
            <v>29.783424100000001</v>
          </cell>
          <cell r="KA60">
            <v>0</v>
          </cell>
          <cell r="KB60">
            <v>0</v>
          </cell>
          <cell r="KC60">
            <v>0</v>
          </cell>
          <cell r="KD60">
            <v>0</v>
          </cell>
          <cell r="KE60">
            <v>1.6182300000000001</v>
          </cell>
          <cell r="KF60">
            <v>44.890667200000003</v>
          </cell>
          <cell r="KG60">
            <v>0</v>
          </cell>
          <cell r="KH60">
            <v>0</v>
          </cell>
          <cell r="KI60">
            <v>0</v>
          </cell>
          <cell r="KJ60">
            <v>0</v>
          </cell>
          <cell r="KK60" t="str">
            <v>nd</v>
          </cell>
          <cell r="KL60">
            <v>18.039034700000002</v>
          </cell>
          <cell r="KM60">
            <v>68.7</v>
          </cell>
          <cell r="KN60">
            <v>13</v>
          </cell>
          <cell r="KO60">
            <v>4.5</v>
          </cell>
          <cell r="KP60">
            <v>7.1999999999999993</v>
          </cell>
          <cell r="KQ60">
            <v>6.4</v>
          </cell>
          <cell r="KR60">
            <v>0.2</v>
          </cell>
          <cell r="KS60">
            <v>67.600000000000009</v>
          </cell>
          <cell r="KT60">
            <v>13</v>
          </cell>
          <cell r="KU60">
            <v>4.7</v>
          </cell>
          <cell r="KV60">
            <v>7.6</v>
          </cell>
          <cell r="KW60">
            <v>6.9</v>
          </cell>
          <cell r="KX60">
            <v>0.2</v>
          </cell>
          <cell r="KY60"/>
          <cell r="KZ60"/>
          <cell r="LA60"/>
          <cell r="LB60"/>
          <cell r="LC60"/>
          <cell r="LD60"/>
          <cell r="LE60"/>
          <cell r="LF60"/>
          <cell r="LG60"/>
          <cell r="LH60"/>
          <cell r="LI60"/>
          <cell r="LJ60"/>
          <cell r="LK60"/>
          <cell r="LL60"/>
          <cell r="LM60"/>
          <cell r="LN60"/>
          <cell r="LO60"/>
        </row>
        <row r="61">
          <cell r="A61" t="str">
            <v>5GZ</v>
          </cell>
          <cell r="B61" t="str">
            <v>61</v>
          </cell>
          <cell r="C61" t="str">
            <v>NAF 17</v>
          </cell>
          <cell r="D61" t="str">
            <v>GZ</v>
          </cell>
          <cell r="E61" t="str">
            <v>5</v>
          </cell>
          <cell r="F61" t="str">
            <v>nd</v>
          </cell>
          <cell r="G61">
            <v>7.5</v>
          </cell>
          <cell r="H61">
            <v>25.7</v>
          </cell>
          <cell r="I61">
            <v>47.5</v>
          </cell>
          <cell r="J61">
            <v>18.899999999999999</v>
          </cell>
          <cell r="K61">
            <v>73.099999999999994</v>
          </cell>
          <cell r="L61">
            <v>15.7</v>
          </cell>
          <cell r="M61" t="str">
            <v>nd</v>
          </cell>
          <cell r="N61">
            <v>9.9</v>
          </cell>
          <cell r="O61">
            <v>21.8</v>
          </cell>
          <cell r="P61">
            <v>31.7</v>
          </cell>
          <cell r="Q61">
            <v>24.099999999999998</v>
          </cell>
          <cell r="R61">
            <v>13.200000000000001</v>
          </cell>
          <cell r="S61">
            <v>15.299999999999999</v>
          </cell>
          <cell r="T61">
            <v>27.3</v>
          </cell>
          <cell r="U61">
            <v>3.4000000000000004</v>
          </cell>
          <cell r="V61">
            <v>29.7</v>
          </cell>
          <cell r="W61">
            <v>15.6</v>
          </cell>
          <cell r="X61">
            <v>72.899999999999991</v>
          </cell>
          <cell r="Y61">
            <v>11.5</v>
          </cell>
          <cell r="Z61">
            <v>22.900000000000002</v>
          </cell>
          <cell r="AA61">
            <v>64.7</v>
          </cell>
          <cell r="AB61">
            <v>11.1</v>
          </cell>
          <cell r="AC61">
            <v>51</v>
          </cell>
          <cell r="AD61">
            <v>30.099999999999998</v>
          </cell>
          <cell r="AE61">
            <v>72.599999999999994</v>
          </cell>
          <cell r="AF61">
            <v>27.400000000000002</v>
          </cell>
          <cell r="AG61">
            <v>80.600000000000009</v>
          </cell>
          <cell r="AH61">
            <v>19.400000000000002</v>
          </cell>
          <cell r="AI61">
            <v>29.4</v>
          </cell>
          <cell r="AJ61">
            <v>2.6</v>
          </cell>
          <cell r="AK61">
            <v>3.6999999999999997</v>
          </cell>
          <cell r="AL61">
            <v>61.9</v>
          </cell>
          <cell r="AM61">
            <v>2.4</v>
          </cell>
          <cell r="AN61">
            <v>5.3</v>
          </cell>
          <cell r="AO61">
            <v>1.9</v>
          </cell>
          <cell r="AP61">
            <v>1.2</v>
          </cell>
          <cell r="AQ61">
            <v>81.8</v>
          </cell>
          <cell r="AR61">
            <v>9.7000000000000011</v>
          </cell>
          <cell r="AS61">
            <v>63.800000000000004</v>
          </cell>
          <cell r="AT61">
            <v>14.499999999999998</v>
          </cell>
          <cell r="AU61">
            <v>7.3999999999999995</v>
          </cell>
          <cell r="AV61">
            <v>5.8000000000000007</v>
          </cell>
          <cell r="AW61">
            <v>4.5999999999999996</v>
          </cell>
          <cell r="AX61">
            <v>4</v>
          </cell>
          <cell r="AY61">
            <v>9</v>
          </cell>
          <cell r="AZ61">
            <v>7.6</v>
          </cell>
          <cell r="BA61">
            <v>8</v>
          </cell>
          <cell r="BB61">
            <v>10</v>
          </cell>
          <cell r="BC61">
            <v>21</v>
          </cell>
          <cell r="BD61">
            <v>44.3</v>
          </cell>
          <cell r="BE61">
            <v>0</v>
          </cell>
          <cell r="BF61">
            <v>1.7000000000000002</v>
          </cell>
          <cell r="BG61">
            <v>2.1999999999999997</v>
          </cell>
          <cell r="BH61">
            <v>5.3</v>
          </cell>
          <cell r="BI61">
            <v>52.5</v>
          </cell>
          <cell r="BJ61">
            <v>38.4</v>
          </cell>
          <cell r="BK61">
            <v>0</v>
          </cell>
          <cell r="BL61">
            <v>0</v>
          </cell>
          <cell r="BM61" t="str">
            <v>nd</v>
          </cell>
          <cell r="BN61">
            <v>10</v>
          </cell>
          <cell r="BO61">
            <v>82.199999999999989</v>
          </cell>
          <cell r="BP61">
            <v>7.3999999999999995</v>
          </cell>
          <cell r="BQ61">
            <v>0</v>
          </cell>
          <cell r="BR61">
            <v>0</v>
          </cell>
          <cell r="BS61">
            <v>1.0999999999999999</v>
          </cell>
          <cell r="BT61">
            <v>13.5</v>
          </cell>
          <cell r="BU61">
            <v>76</v>
          </cell>
          <cell r="BV61">
            <v>9.3000000000000007</v>
          </cell>
          <cell r="BW61">
            <v>0</v>
          </cell>
          <cell r="BX61">
            <v>0</v>
          </cell>
          <cell r="BY61">
            <v>0</v>
          </cell>
          <cell r="BZ61">
            <v>0</v>
          </cell>
          <cell r="CA61">
            <v>2.1999999999999997</v>
          </cell>
          <cell r="CB61">
            <v>97.8</v>
          </cell>
          <cell r="CC61">
            <v>35.099999999999994</v>
          </cell>
          <cell r="CD61">
            <v>9.1999999999999993</v>
          </cell>
          <cell r="CE61">
            <v>1</v>
          </cell>
          <cell r="CF61">
            <v>1.5</v>
          </cell>
          <cell r="CG61">
            <v>0.89999999999999991</v>
          </cell>
          <cell r="CH61">
            <v>9.9</v>
          </cell>
          <cell r="CI61">
            <v>7.1</v>
          </cell>
          <cell r="CJ61">
            <v>53.900000000000006</v>
          </cell>
          <cell r="CK61">
            <v>27.1</v>
          </cell>
          <cell r="CL61">
            <v>7.5</v>
          </cell>
          <cell r="CM61">
            <v>3.2</v>
          </cell>
          <cell r="CN61">
            <v>1.7999999999999998</v>
          </cell>
          <cell r="CO61">
            <v>71.8</v>
          </cell>
          <cell r="CP61">
            <v>19.900000000000002</v>
          </cell>
          <cell r="CQ61">
            <v>32.200000000000003</v>
          </cell>
          <cell r="CR61">
            <v>6</v>
          </cell>
          <cell r="CS61">
            <v>41.8</v>
          </cell>
          <cell r="CT61">
            <v>19</v>
          </cell>
          <cell r="CU61">
            <v>81</v>
          </cell>
          <cell r="CV61">
            <v>28.1</v>
          </cell>
          <cell r="CW61">
            <v>71.899999999999991</v>
          </cell>
          <cell r="CX61">
            <v>42.4</v>
          </cell>
          <cell r="CY61">
            <v>30.8</v>
          </cell>
          <cell r="CZ61">
            <v>26.8</v>
          </cell>
          <cell r="DA61">
            <v>56.8</v>
          </cell>
          <cell r="DB61">
            <v>12.5</v>
          </cell>
          <cell r="DC61">
            <v>15.5</v>
          </cell>
          <cell r="DD61">
            <v>0</v>
          </cell>
          <cell r="DE61">
            <v>40</v>
          </cell>
          <cell r="DF61">
            <v>25.6</v>
          </cell>
          <cell r="DG61">
            <v>10</v>
          </cell>
          <cell r="DH61">
            <v>13.4</v>
          </cell>
          <cell r="DI61">
            <v>10.6</v>
          </cell>
          <cell r="DJ61">
            <v>10.4</v>
          </cell>
          <cell r="DK61">
            <v>29.9</v>
          </cell>
          <cell r="DL61">
            <v>24.8</v>
          </cell>
          <cell r="DM61">
            <v>25.5</v>
          </cell>
          <cell r="DN61">
            <v>6.6000000000000005</v>
          </cell>
          <cell r="DO61">
            <v>21</v>
          </cell>
          <cell r="DP61">
            <v>9.4</v>
          </cell>
          <cell r="DQ61">
            <v>0.89999999999999991</v>
          </cell>
          <cell r="DR61">
            <v>8.6999999999999993</v>
          </cell>
          <cell r="DS61">
            <v>23.799999999999997</v>
          </cell>
          <cell r="DT61">
            <v>23.5</v>
          </cell>
          <cell r="DU61" t="str">
            <v>nd</v>
          </cell>
          <cell r="DV61">
            <v>0</v>
          </cell>
          <cell r="DW61">
            <v>0</v>
          </cell>
          <cell r="DX61">
            <v>0</v>
          </cell>
          <cell r="DY61">
            <v>0</v>
          </cell>
          <cell r="DZ61">
            <v>2.9827300000000001</v>
          </cell>
          <cell r="EA61">
            <v>1.70994</v>
          </cell>
          <cell r="EB61" t="str">
            <v>nd</v>
          </cell>
          <cell r="EC61" t="str">
            <v>nd</v>
          </cell>
          <cell r="ED61" t="str">
            <v>nd</v>
          </cell>
          <cell r="EE61" t="str">
            <v>nd</v>
          </cell>
          <cell r="EF61">
            <v>11.373844099999999</v>
          </cell>
          <cell r="EG61">
            <v>5.6745400000000004</v>
          </cell>
          <cell r="EH61">
            <v>4.5245199999999999</v>
          </cell>
          <cell r="EI61">
            <v>1.5060199999999999</v>
          </cell>
          <cell r="EJ61">
            <v>2.0717499999999998</v>
          </cell>
          <cell r="EK61" t="str">
            <v>nd</v>
          </cell>
          <cell r="EL61">
            <v>31.892310699999999</v>
          </cell>
          <cell r="EM61">
            <v>6.5152621999999996</v>
          </cell>
          <cell r="EN61">
            <v>1.7998000000000001</v>
          </cell>
          <cell r="EO61">
            <v>2.49533</v>
          </cell>
          <cell r="EP61">
            <v>2.1450899999999997</v>
          </cell>
          <cell r="EQ61">
            <v>2.73868</v>
          </cell>
          <cell r="ER61">
            <v>17.208364899999999</v>
          </cell>
          <cell r="ES61" t="str">
            <v>nd</v>
          </cell>
          <cell r="ET61">
            <v>0</v>
          </cell>
          <cell r="EU61" t="str">
            <v>nd</v>
          </cell>
          <cell r="EV61">
            <v>0</v>
          </cell>
          <cell r="EW61" t="str">
            <v>nd</v>
          </cell>
          <cell r="EX61">
            <v>0</v>
          </cell>
          <cell r="EY61">
            <v>0</v>
          </cell>
          <cell r="EZ61">
            <v>0</v>
          </cell>
          <cell r="FA61">
            <v>0</v>
          </cell>
          <cell r="FB61" t="str">
            <v>nd</v>
          </cell>
          <cell r="FC61" t="str">
            <v>nd</v>
          </cell>
          <cell r="FD61">
            <v>0</v>
          </cell>
          <cell r="FE61">
            <v>1.8580400000000001</v>
          </cell>
          <cell r="FF61" t="str">
            <v>nd</v>
          </cell>
          <cell r="FG61">
            <v>1.69086</v>
          </cell>
          <cell r="FH61">
            <v>2.6358699999999997</v>
          </cell>
          <cell r="FI61">
            <v>3.6122099999999997</v>
          </cell>
          <cell r="FJ61">
            <v>1.1721999999999999</v>
          </cell>
          <cell r="FK61">
            <v>2.2144900000000001</v>
          </cell>
          <cell r="FL61">
            <v>4.4371099999999997</v>
          </cell>
          <cell r="FM61">
            <v>6.0298100000000003</v>
          </cell>
          <cell r="FN61">
            <v>9.0800708999999991</v>
          </cell>
          <cell r="FO61">
            <v>3.7072099999999999</v>
          </cell>
          <cell r="FP61">
            <v>2.8366199999999999</v>
          </cell>
          <cell r="FQ61">
            <v>3.9438399999999998</v>
          </cell>
          <cell r="FR61">
            <v>4.2891400000000006</v>
          </cell>
          <cell r="FS61">
            <v>8.3659426000000003</v>
          </cell>
          <cell r="FT61">
            <v>23.643852500000001</v>
          </cell>
          <cell r="FU61" t="str">
            <v>nd</v>
          </cell>
          <cell r="FV61" t="str">
            <v>nd</v>
          </cell>
          <cell r="FW61">
            <v>0</v>
          </cell>
          <cell r="FX61" t="str">
            <v>nd</v>
          </cell>
          <cell r="FY61">
            <v>4.9210200000000004</v>
          </cell>
          <cell r="FZ61">
            <v>8.6475836000000008</v>
          </cell>
          <cell r="GA61">
            <v>0</v>
          </cell>
          <cell r="GB61">
            <v>0</v>
          </cell>
          <cell r="GC61">
            <v>0</v>
          </cell>
          <cell r="GD61">
            <v>0</v>
          </cell>
          <cell r="GE61" t="str">
            <v>nd</v>
          </cell>
          <cell r="GF61">
            <v>0</v>
          </cell>
          <cell r="GG61" t="str">
            <v>nd</v>
          </cell>
          <cell r="GH61" t="str">
            <v>nd</v>
          </cell>
          <cell r="GI61">
            <v>1.9538799999999998</v>
          </cell>
          <cell r="GJ61">
            <v>2.3601400000000003</v>
          </cell>
          <cell r="GK61" t="str">
            <v>nd</v>
          </cell>
          <cell r="GL61">
            <v>0</v>
          </cell>
          <cell r="GM61" t="str">
            <v>nd</v>
          </cell>
          <cell r="GN61">
            <v>1.4293400000000001</v>
          </cell>
          <cell r="GO61">
            <v>2.76593</v>
          </cell>
          <cell r="GP61">
            <v>14.691115499999999</v>
          </cell>
          <cell r="GQ61">
            <v>7.2698278000000007</v>
          </cell>
          <cell r="GR61">
            <v>0</v>
          </cell>
          <cell r="GS61" t="str">
            <v>nd</v>
          </cell>
          <cell r="GT61">
            <v>0</v>
          </cell>
          <cell r="GU61" t="str">
            <v>nd</v>
          </cell>
          <cell r="GV61">
            <v>24.173966799999999</v>
          </cell>
          <cell r="GW61">
            <v>21.5787938</v>
          </cell>
          <cell r="GX61">
            <v>0</v>
          </cell>
          <cell r="GY61">
            <v>0</v>
          </cell>
          <cell r="GZ61">
            <v>0</v>
          </cell>
          <cell r="HA61">
            <v>0</v>
          </cell>
          <cell r="HB61">
            <v>11.246503200000001</v>
          </cell>
          <cell r="HC61">
            <v>8.0916652000000013</v>
          </cell>
          <cell r="HD61">
            <v>0</v>
          </cell>
          <cell r="HE61" t="str">
            <v>nd</v>
          </cell>
          <cell r="HF61">
            <v>0</v>
          </cell>
          <cell r="HG61">
            <v>0</v>
          </cell>
          <cell r="HH61">
            <v>0</v>
          </cell>
          <cell r="HI61">
            <v>0</v>
          </cell>
          <cell r="HJ61">
            <v>0</v>
          </cell>
          <cell r="HK61">
            <v>0</v>
          </cell>
          <cell r="HL61" t="str">
            <v>nd</v>
          </cell>
          <cell r="HM61">
            <v>5.8284000000000002</v>
          </cell>
          <cell r="HN61">
            <v>0</v>
          </cell>
          <cell r="HO61">
            <v>0</v>
          </cell>
          <cell r="HP61">
            <v>0</v>
          </cell>
          <cell r="HQ61">
            <v>0</v>
          </cell>
          <cell r="HR61">
            <v>1.87392</v>
          </cell>
          <cell r="HS61">
            <v>22.6922757</v>
          </cell>
          <cell r="HT61">
            <v>2.06799</v>
          </cell>
          <cell r="HU61">
            <v>0</v>
          </cell>
          <cell r="HV61">
            <v>0</v>
          </cell>
          <cell r="HW61" t="str">
            <v>nd</v>
          </cell>
          <cell r="HX61">
            <v>5.4217599999999999</v>
          </cell>
          <cell r="HY61">
            <v>38.016246700000004</v>
          </cell>
          <cell r="HZ61">
            <v>3.44516</v>
          </cell>
          <cell r="IA61">
            <v>0</v>
          </cell>
          <cell r="IB61">
            <v>0</v>
          </cell>
          <cell r="IC61">
            <v>0</v>
          </cell>
          <cell r="ID61">
            <v>1.9271099999999999</v>
          </cell>
          <cell r="IE61">
            <v>15.319266300000001</v>
          </cell>
          <cell r="IF61">
            <v>1.9019699999999999</v>
          </cell>
          <cell r="IG61">
            <v>0</v>
          </cell>
          <cell r="IH61">
            <v>0</v>
          </cell>
          <cell r="II61">
            <v>0</v>
          </cell>
          <cell r="IJ61">
            <v>0</v>
          </cell>
          <cell r="IK61" t="str">
            <v>nd</v>
          </cell>
          <cell r="IL61">
            <v>0</v>
          </cell>
          <cell r="IM61">
            <v>0</v>
          </cell>
          <cell r="IN61">
            <v>0</v>
          </cell>
          <cell r="IO61" t="str">
            <v>nd</v>
          </cell>
          <cell r="IP61">
            <v>5.2656799999999997</v>
          </cell>
          <cell r="IQ61">
            <v>1.2999500000000002</v>
          </cell>
          <cell r="IR61">
            <v>0</v>
          </cell>
          <cell r="IS61">
            <v>0</v>
          </cell>
          <cell r="IT61">
            <v>0</v>
          </cell>
          <cell r="IU61">
            <v>3.2576099999999997</v>
          </cell>
          <cell r="IV61">
            <v>20.581023999999999</v>
          </cell>
          <cell r="IW61">
            <v>2.3860800000000002</v>
          </cell>
          <cell r="IX61">
            <v>0</v>
          </cell>
          <cell r="IY61">
            <v>0</v>
          </cell>
          <cell r="IZ61">
            <v>1.1103000000000001</v>
          </cell>
          <cell r="JA61">
            <v>8.1356859999999998</v>
          </cell>
          <cell r="JB61">
            <v>33.148056099999998</v>
          </cell>
          <cell r="JC61">
            <v>4.2451299999999996</v>
          </cell>
          <cell r="JD61">
            <v>0</v>
          </cell>
          <cell r="JE61">
            <v>0</v>
          </cell>
          <cell r="JF61">
            <v>0</v>
          </cell>
          <cell r="JG61">
            <v>1.0655299999999999</v>
          </cell>
          <cell r="JH61">
            <v>17.020077000000001</v>
          </cell>
          <cell r="JI61">
            <v>1.0507900000000001</v>
          </cell>
          <cell r="JJ61">
            <v>0</v>
          </cell>
          <cell r="JK61">
            <v>0</v>
          </cell>
          <cell r="JL61">
            <v>0</v>
          </cell>
          <cell r="JM61">
            <v>0</v>
          </cell>
          <cell r="JN61" t="str">
            <v>nd</v>
          </cell>
          <cell r="JO61">
            <v>0</v>
          </cell>
          <cell r="JP61">
            <v>0</v>
          </cell>
          <cell r="JQ61">
            <v>0</v>
          </cell>
          <cell r="JR61">
            <v>0</v>
          </cell>
          <cell r="JS61">
            <v>0</v>
          </cell>
          <cell r="JT61">
            <v>6.6316221999999998</v>
          </cell>
          <cell r="JU61">
            <v>0</v>
          </cell>
          <cell r="JV61">
            <v>0</v>
          </cell>
          <cell r="JW61">
            <v>0</v>
          </cell>
          <cell r="JX61">
            <v>0</v>
          </cell>
          <cell r="JY61" t="str">
            <v>nd</v>
          </cell>
          <cell r="JZ61">
            <v>26.160955699999999</v>
          </cell>
          <cell r="KA61">
            <v>0</v>
          </cell>
          <cell r="KB61">
            <v>0</v>
          </cell>
          <cell r="KC61">
            <v>0</v>
          </cell>
          <cell r="KD61">
            <v>0</v>
          </cell>
          <cell r="KE61">
            <v>1.4104699999999999</v>
          </cell>
          <cell r="KF61">
            <v>46.024432599999997</v>
          </cell>
          <cell r="KG61">
            <v>0</v>
          </cell>
          <cell r="KH61">
            <v>0</v>
          </cell>
          <cell r="KI61">
            <v>0</v>
          </cell>
          <cell r="KJ61">
            <v>0</v>
          </cell>
          <cell r="KK61" t="str">
            <v>nd</v>
          </cell>
          <cell r="KL61">
            <v>18.675230300000003</v>
          </cell>
          <cell r="KM61">
            <v>64.600000000000009</v>
          </cell>
          <cell r="KN61">
            <v>16.5</v>
          </cell>
          <cell r="KO61">
            <v>5.8000000000000007</v>
          </cell>
          <cell r="KP61">
            <v>6.3</v>
          </cell>
          <cell r="KQ61">
            <v>6.7</v>
          </cell>
          <cell r="KR61">
            <v>0.1</v>
          </cell>
          <cell r="KS61">
            <v>63.3</v>
          </cell>
          <cell r="KT61">
            <v>16.5</v>
          </cell>
          <cell r="KU61">
            <v>5.8999999999999995</v>
          </cell>
          <cell r="KV61">
            <v>6.7</v>
          </cell>
          <cell r="KW61">
            <v>7.3999999999999995</v>
          </cell>
          <cell r="KX61">
            <v>0.1</v>
          </cell>
          <cell r="KY61"/>
          <cell r="KZ61"/>
          <cell r="LA61"/>
          <cell r="LB61"/>
          <cell r="LC61"/>
          <cell r="LD61"/>
          <cell r="LE61"/>
          <cell r="LF61"/>
          <cell r="LG61"/>
          <cell r="LH61"/>
          <cell r="LI61"/>
          <cell r="LJ61"/>
          <cell r="LK61"/>
          <cell r="LL61"/>
          <cell r="LM61"/>
          <cell r="LN61"/>
          <cell r="LO61"/>
        </row>
        <row r="62">
          <cell r="A62" t="str">
            <v>6GZ</v>
          </cell>
          <cell r="B62" t="str">
            <v>62</v>
          </cell>
          <cell r="C62" t="str">
            <v>NAF 17</v>
          </cell>
          <cell r="D62" t="str">
            <v>GZ</v>
          </cell>
          <cell r="E62" t="str">
            <v>6</v>
          </cell>
          <cell r="F62" t="str">
            <v>nd</v>
          </cell>
          <cell r="G62">
            <v>1.9</v>
          </cell>
          <cell r="H62">
            <v>45.4</v>
          </cell>
          <cell r="I62">
            <v>26.200000000000003</v>
          </cell>
          <cell r="J62">
            <v>26.3</v>
          </cell>
          <cell r="K62">
            <v>35.5</v>
          </cell>
          <cell r="L62">
            <v>9.1</v>
          </cell>
          <cell r="M62">
            <v>8.6999999999999993</v>
          </cell>
          <cell r="N62">
            <v>46.7</v>
          </cell>
          <cell r="O62">
            <v>43.3</v>
          </cell>
          <cell r="P62">
            <v>36.5</v>
          </cell>
          <cell r="Q62">
            <v>16.2</v>
          </cell>
          <cell r="R62">
            <v>11</v>
          </cell>
          <cell r="S62">
            <v>43.9</v>
          </cell>
          <cell r="T62">
            <v>16.600000000000001</v>
          </cell>
          <cell r="U62">
            <v>3.6999999999999997</v>
          </cell>
          <cell r="V62">
            <v>18.5</v>
          </cell>
          <cell r="W62">
            <v>13.200000000000001</v>
          </cell>
          <cell r="X62">
            <v>56.899999999999991</v>
          </cell>
          <cell r="Y62">
            <v>29.799999999999997</v>
          </cell>
          <cell r="Z62" t="str">
            <v>nd</v>
          </cell>
          <cell r="AA62">
            <v>64.8</v>
          </cell>
          <cell r="AB62" t="str">
            <v>nd</v>
          </cell>
          <cell r="AC62">
            <v>46.400000000000006</v>
          </cell>
          <cell r="AD62">
            <v>22.400000000000002</v>
          </cell>
          <cell r="AE62">
            <v>65</v>
          </cell>
          <cell r="AF62">
            <v>35</v>
          </cell>
          <cell r="AG62">
            <v>86.4</v>
          </cell>
          <cell r="AH62">
            <v>13.600000000000001</v>
          </cell>
          <cell r="AI62">
            <v>18.399999999999999</v>
          </cell>
          <cell r="AJ62">
            <v>3.6999999999999997</v>
          </cell>
          <cell r="AK62">
            <v>4.5</v>
          </cell>
          <cell r="AL62">
            <v>58.3</v>
          </cell>
          <cell r="AM62">
            <v>15.1</v>
          </cell>
          <cell r="AN62">
            <v>6.8000000000000007</v>
          </cell>
          <cell r="AO62">
            <v>1.4000000000000001</v>
          </cell>
          <cell r="AP62">
            <v>4.3</v>
          </cell>
          <cell r="AQ62">
            <v>65</v>
          </cell>
          <cell r="AR62">
            <v>22.400000000000002</v>
          </cell>
          <cell r="AS62">
            <v>72.399999999999991</v>
          </cell>
          <cell r="AT62">
            <v>11</v>
          </cell>
          <cell r="AU62">
            <v>5.3</v>
          </cell>
          <cell r="AV62">
            <v>7.1999999999999993</v>
          </cell>
          <cell r="AW62">
            <v>2.6</v>
          </cell>
          <cell r="AX62">
            <v>1.4000000000000001</v>
          </cell>
          <cell r="AY62">
            <v>6.4</v>
          </cell>
          <cell r="AZ62">
            <v>4.3</v>
          </cell>
          <cell r="BA62">
            <v>6.7</v>
          </cell>
          <cell r="BB62">
            <v>13.100000000000001</v>
          </cell>
          <cell r="BC62">
            <v>49.4</v>
          </cell>
          <cell r="BD62">
            <v>20.100000000000001</v>
          </cell>
          <cell r="BE62">
            <v>0.89999999999999991</v>
          </cell>
          <cell r="BF62">
            <v>1.0999999999999999</v>
          </cell>
          <cell r="BG62">
            <v>2</v>
          </cell>
          <cell r="BH62">
            <v>9.7000000000000011</v>
          </cell>
          <cell r="BI62">
            <v>47.599999999999994</v>
          </cell>
          <cell r="BJ62">
            <v>38.700000000000003</v>
          </cell>
          <cell r="BK62">
            <v>0</v>
          </cell>
          <cell r="BL62">
            <v>0</v>
          </cell>
          <cell r="BM62" t="str">
            <v>nd</v>
          </cell>
          <cell r="BN62">
            <v>12.5</v>
          </cell>
          <cell r="BO62">
            <v>84.6</v>
          </cell>
          <cell r="BP62">
            <v>2.7</v>
          </cell>
          <cell r="BQ62" t="str">
            <v>nd</v>
          </cell>
          <cell r="BR62" t="str">
            <v>nd</v>
          </cell>
          <cell r="BS62">
            <v>1.2</v>
          </cell>
          <cell r="BT62">
            <v>15.9</v>
          </cell>
          <cell r="BU62">
            <v>76.099999999999994</v>
          </cell>
          <cell r="BV62">
            <v>6.3</v>
          </cell>
          <cell r="BW62">
            <v>0</v>
          </cell>
          <cell r="BX62">
            <v>0</v>
          </cell>
          <cell r="BY62">
            <v>0</v>
          </cell>
          <cell r="BZ62">
            <v>0</v>
          </cell>
          <cell r="CA62">
            <v>4.3</v>
          </cell>
          <cell r="CB62">
            <v>95.7</v>
          </cell>
          <cell r="CC62">
            <v>23.400000000000002</v>
          </cell>
          <cell r="CD62">
            <v>12.4</v>
          </cell>
          <cell r="CE62" t="str">
            <v>nd</v>
          </cell>
          <cell r="CF62">
            <v>4.3999999999999995</v>
          </cell>
          <cell r="CG62" t="str">
            <v>nd</v>
          </cell>
          <cell r="CH62">
            <v>12.1</v>
          </cell>
          <cell r="CI62">
            <v>5.3</v>
          </cell>
          <cell r="CJ62">
            <v>63</v>
          </cell>
          <cell r="CK62">
            <v>31.6</v>
          </cell>
          <cell r="CL62">
            <v>8.9</v>
          </cell>
          <cell r="CM62">
            <v>2.2999999999999998</v>
          </cell>
          <cell r="CN62">
            <v>2.1</v>
          </cell>
          <cell r="CO62">
            <v>68.899999999999991</v>
          </cell>
          <cell r="CP62">
            <v>11.3</v>
          </cell>
          <cell r="CQ62">
            <v>25.3</v>
          </cell>
          <cell r="CR62">
            <v>29.5</v>
          </cell>
          <cell r="CS62">
            <v>33.900000000000006</v>
          </cell>
          <cell r="CT62">
            <v>39.300000000000004</v>
          </cell>
          <cell r="CU62">
            <v>60.699999999999996</v>
          </cell>
          <cell r="CV62">
            <v>47.3</v>
          </cell>
          <cell r="CW62">
            <v>52.7</v>
          </cell>
          <cell r="CX62">
            <v>65.600000000000009</v>
          </cell>
          <cell r="CY62">
            <v>23.599999999999998</v>
          </cell>
          <cell r="CZ62">
            <v>10.8</v>
          </cell>
          <cell r="DA62">
            <v>74.599999999999994</v>
          </cell>
          <cell r="DB62">
            <v>4.5</v>
          </cell>
          <cell r="DC62">
            <v>20.200000000000003</v>
          </cell>
          <cell r="DD62">
            <v>0</v>
          </cell>
          <cell r="DE62">
            <v>46.2</v>
          </cell>
          <cell r="DF62">
            <v>25.1</v>
          </cell>
          <cell r="DG62">
            <v>2</v>
          </cell>
          <cell r="DH62">
            <v>10.100000000000001</v>
          </cell>
          <cell r="DI62">
            <v>15.2</v>
          </cell>
          <cell r="DJ62">
            <v>27.700000000000003</v>
          </cell>
          <cell r="DK62">
            <v>19.8</v>
          </cell>
          <cell r="DL62">
            <v>9.3000000000000007</v>
          </cell>
          <cell r="DM62">
            <v>26.6</v>
          </cell>
          <cell r="DN62">
            <v>25.3</v>
          </cell>
          <cell r="DO62">
            <v>29.099999999999998</v>
          </cell>
          <cell r="DP62">
            <v>5</v>
          </cell>
          <cell r="DQ62">
            <v>4.2</v>
          </cell>
          <cell r="DR62">
            <v>31.2</v>
          </cell>
          <cell r="DS62">
            <v>55.000000000000007</v>
          </cell>
          <cell r="DT62">
            <v>13.8</v>
          </cell>
          <cell r="DU62">
            <v>0</v>
          </cell>
          <cell r="DV62">
            <v>0</v>
          </cell>
          <cell r="DW62">
            <v>0</v>
          </cell>
          <cell r="DX62">
            <v>0</v>
          </cell>
          <cell r="DY62" t="str">
            <v>nd</v>
          </cell>
          <cell r="DZ62" t="str">
            <v>nd</v>
          </cell>
          <cell r="EA62">
            <v>0.32957899999999996</v>
          </cell>
          <cell r="EB62" t="str">
            <v>nd</v>
          </cell>
          <cell r="EC62">
            <v>0.22726199999999999</v>
          </cell>
          <cell r="ED62">
            <v>0.94362999999999997</v>
          </cell>
          <cell r="EE62" t="str">
            <v>nd</v>
          </cell>
          <cell r="EF62">
            <v>29.8333847</v>
          </cell>
          <cell r="EG62">
            <v>7.3881968000000002</v>
          </cell>
          <cell r="EH62">
            <v>1.33223</v>
          </cell>
          <cell r="EI62">
            <v>5.6644800000000002</v>
          </cell>
          <cell r="EJ62">
            <v>1.4532499999999999</v>
          </cell>
          <cell r="EK62">
            <v>0</v>
          </cell>
          <cell r="EL62">
            <v>19.676936699999999</v>
          </cell>
          <cell r="EM62">
            <v>1.12358</v>
          </cell>
          <cell r="EN62">
            <v>3.2981999999999996</v>
          </cell>
          <cell r="EO62">
            <v>1.18682</v>
          </cell>
          <cell r="EP62" t="str">
            <v>nd</v>
          </cell>
          <cell r="EQ62">
            <v>0.64810600000000007</v>
          </cell>
          <cell r="ER62">
            <v>21.992982399999999</v>
          </cell>
          <cell r="ES62">
            <v>2.4137900000000001</v>
          </cell>
          <cell r="ET62">
            <v>0.72990900000000003</v>
          </cell>
          <cell r="EU62" t="str">
            <v>nd</v>
          </cell>
          <cell r="EV62">
            <v>0</v>
          </cell>
          <cell r="EW62" t="str">
            <v>nd</v>
          </cell>
          <cell r="EX62">
            <v>0</v>
          </cell>
          <cell r="EY62" t="str">
            <v>nd</v>
          </cell>
          <cell r="EZ62">
            <v>0</v>
          </cell>
          <cell r="FA62">
            <v>0</v>
          </cell>
          <cell r="FB62" t="str">
            <v>nd</v>
          </cell>
          <cell r="FC62">
            <v>0</v>
          </cell>
          <cell r="FD62">
            <v>0</v>
          </cell>
          <cell r="FE62">
            <v>0.24515299999999998</v>
          </cell>
          <cell r="FF62">
            <v>0.33435199999999998</v>
          </cell>
          <cell r="FG62">
            <v>0.87319000000000013</v>
          </cell>
          <cell r="FH62">
            <v>0.45735999999999999</v>
          </cell>
          <cell r="FI62">
            <v>1.7439799999999999</v>
          </cell>
          <cell r="FJ62">
            <v>2.1340000000000003</v>
          </cell>
          <cell r="FK62">
            <v>2.8555899999999999</v>
          </cell>
          <cell r="FL62">
            <v>3.08595</v>
          </cell>
          <cell r="FM62">
            <v>30.630779699999998</v>
          </cell>
          <cell r="FN62">
            <v>4.9170699999999998</v>
          </cell>
          <cell r="FO62">
            <v>4.6341999999999999</v>
          </cell>
          <cell r="FP62">
            <v>1.0505</v>
          </cell>
          <cell r="FQ62">
            <v>3.01369</v>
          </cell>
          <cell r="FR62">
            <v>1.5725699999999998</v>
          </cell>
          <cell r="FS62">
            <v>10.472379800000001</v>
          </cell>
          <cell r="FT62">
            <v>5.5750399999999996</v>
          </cell>
          <cell r="FU62">
            <v>0</v>
          </cell>
          <cell r="FV62">
            <v>1.15537</v>
          </cell>
          <cell r="FW62">
            <v>0.91169999999999995</v>
          </cell>
          <cell r="FX62">
            <v>7.2534640000000001</v>
          </cell>
          <cell r="FY62">
            <v>7.8750055000000003</v>
          </cell>
          <cell r="FZ62">
            <v>9.0490175000000015</v>
          </cell>
          <cell r="GA62" t="str">
            <v>nd</v>
          </cell>
          <cell r="GB62">
            <v>0</v>
          </cell>
          <cell r="GC62">
            <v>0</v>
          </cell>
          <cell r="GD62">
            <v>0</v>
          </cell>
          <cell r="GE62">
            <v>0</v>
          </cell>
          <cell r="GF62">
            <v>0.69767299999999999</v>
          </cell>
          <cell r="GG62" t="str">
            <v>nd</v>
          </cell>
          <cell r="GH62">
            <v>0.49074200000000001</v>
          </cell>
          <cell r="GI62" t="str">
            <v>nd</v>
          </cell>
          <cell r="GJ62">
            <v>0.45010900000000004</v>
          </cell>
          <cell r="GK62" t="str">
            <v>nd</v>
          </cell>
          <cell r="GL62">
            <v>0</v>
          </cell>
          <cell r="GM62">
            <v>1.04101</v>
          </cell>
          <cell r="GN62">
            <v>1.57622</v>
          </cell>
          <cell r="GO62">
            <v>7.1575954999999993</v>
          </cell>
          <cell r="GP62">
            <v>13.306060499999999</v>
          </cell>
          <cell r="GQ62">
            <v>21.6430492</v>
          </cell>
          <cell r="GR62">
            <v>0</v>
          </cell>
          <cell r="GS62">
            <v>0</v>
          </cell>
          <cell r="GT62">
            <v>0</v>
          </cell>
          <cell r="GU62">
            <v>0.60000699999999996</v>
          </cell>
          <cell r="GV62">
            <v>17.212092800000001</v>
          </cell>
          <cell r="GW62">
            <v>9.1089742000000005</v>
          </cell>
          <cell r="GX62">
            <v>0</v>
          </cell>
          <cell r="GY62">
            <v>0</v>
          </cell>
          <cell r="GZ62">
            <v>0</v>
          </cell>
          <cell r="HA62">
            <v>1.9769700000000001</v>
          </cell>
          <cell r="HB62">
            <v>16.1998307</v>
          </cell>
          <cell r="HC62">
            <v>8.0589750999999996</v>
          </cell>
          <cell r="HD62">
            <v>0</v>
          </cell>
          <cell r="HE62" t="str">
            <v>nd</v>
          </cell>
          <cell r="HF62">
            <v>0</v>
          </cell>
          <cell r="HG62">
            <v>0</v>
          </cell>
          <cell r="HH62">
            <v>0</v>
          </cell>
          <cell r="HI62">
            <v>0</v>
          </cell>
          <cell r="HJ62">
            <v>0</v>
          </cell>
          <cell r="HK62">
            <v>0</v>
          </cell>
          <cell r="HL62">
            <v>0.23851900000000001</v>
          </cell>
          <cell r="HM62">
            <v>1.67858</v>
          </cell>
          <cell r="HN62">
            <v>0</v>
          </cell>
          <cell r="HO62">
            <v>0</v>
          </cell>
          <cell r="HP62">
            <v>0</v>
          </cell>
          <cell r="HQ62">
            <v>0</v>
          </cell>
          <cell r="HR62">
            <v>3.8437800000000002</v>
          </cell>
          <cell r="HS62">
            <v>40.742322100000003</v>
          </cell>
          <cell r="HT62">
            <v>0.71499999999999997</v>
          </cell>
          <cell r="HU62">
            <v>0</v>
          </cell>
          <cell r="HV62">
            <v>0</v>
          </cell>
          <cell r="HW62">
            <v>0</v>
          </cell>
          <cell r="HX62">
            <v>1.22227</v>
          </cell>
          <cell r="HY62">
            <v>23.6128301</v>
          </cell>
          <cell r="HZ62">
            <v>1.2775399999999999</v>
          </cell>
          <cell r="IA62">
            <v>0</v>
          </cell>
          <cell r="IB62">
            <v>0</v>
          </cell>
          <cell r="IC62" t="str">
            <v>nd</v>
          </cell>
          <cell r="ID62">
            <v>7.1619697999999996</v>
          </cell>
          <cell r="IE62">
            <v>18.362844299999999</v>
          </cell>
          <cell r="IF62">
            <v>0.695573</v>
          </cell>
          <cell r="IG62">
            <v>0</v>
          </cell>
          <cell r="IH62" t="str">
            <v>nd</v>
          </cell>
          <cell r="II62" t="str">
            <v>nd</v>
          </cell>
          <cell r="IJ62">
            <v>0</v>
          </cell>
          <cell r="IK62">
            <v>0</v>
          </cell>
          <cell r="IL62">
            <v>0</v>
          </cell>
          <cell r="IM62">
            <v>0</v>
          </cell>
          <cell r="IN62">
            <v>0.67333500000000002</v>
          </cell>
          <cell r="IO62">
            <v>0.396704</v>
          </cell>
          <cell r="IP62">
            <v>0.44617499999999993</v>
          </cell>
          <cell r="IQ62">
            <v>0.40234800000000004</v>
          </cell>
          <cell r="IR62" t="str">
            <v>nd</v>
          </cell>
          <cell r="IS62">
            <v>0</v>
          </cell>
          <cell r="IT62">
            <v>0</v>
          </cell>
          <cell r="IU62">
            <v>8.6678002999999997</v>
          </cell>
          <cell r="IV62">
            <v>35.389674399999997</v>
          </cell>
          <cell r="IW62">
            <v>1.0970799999999998</v>
          </cell>
          <cell r="IX62">
            <v>0</v>
          </cell>
          <cell r="IY62" t="str">
            <v>nd</v>
          </cell>
          <cell r="IZ62" t="str">
            <v>nd</v>
          </cell>
          <cell r="JA62">
            <v>5.1911199999999997</v>
          </cell>
          <cell r="JB62">
            <v>18.272784300000001</v>
          </cell>
          <cell r="JC62">
            <v>2.49071</v>
          </cell>
          <cell r="JD62">
            <v>0</v>
          </cell>
          <cell r="JE62">
            <v>0</v>
          </cell>
          <cell r="JF62" t="str">
            <v>nd</v>
          </cell>
          <cell r="JG62">
            <v>2.0223800000000001</v>
          </cell>
          <cell r="JH62">
            <v>21.541839700000001</v>
          </cell>
          <cell r="JI62">
            <v>2.3272500000000003</v>
          </cell>
          <cell r="JJ62">
            <v>0</v>
          </cell>
          <cell r="JK62">
            <v>0</v>
          </cell>
          <cell r="JL62">
            <v>0</v>
          </cell>
          <cell r="JM62">
            <v>0</v>
          </cell>
          <cell r="JN62" t="str">
            <v>nd</v>
          </cell>
          <cell r="JO62">
            <v>0</v>
          </cell>
          <cell r="JP62">
            <v>0</v>
          </cell>
          <cell r="JQ62">
            <v>0</v>
          </cell>
          <cell r="JR62">
            <v>0</v>
          </cell>
          <cell r="JS62">
            <v>0</v>
          </cell>
          <cell r="JT62">
            <v>1.9153099999999998</v>
          </cell>
          <cell r="JU62">
            <v>0</v>
          </cell>
          <cell r="JV62">
            <v>0</v>
          </cell>
          <cell r="JW62">
            <v>0</v>
          </cell>
          <cell r="JX62">
            <v>0</v>
          </cell>
          <cell r="JY62" t="str">
            <v>nd</v>
          </cell>
          <cell r="JZ62">
            <v>42.811975799999999</v>
          </cell>
          <cell r="KA62">
            <v>0</v>
          </cell>
          <cell r="KB62">
            <v>0</v>
          </cell>
          <cell r="KC62">
            <v>0</v>
          </cell>
          <cell r="KD62">
            <v>0</v>
          </cell>
          <cell r="KE62">
            <v>1.1242999999999999</v>
          </cell>
          <cell r="KF62">
            <v>24.998332900000001</v>
          </cell>
          <cell r="KG62">
            <v>0</v>
          </cell>
          <cell r="KH62">
            <v>0</v>
          </cell>
          <cell r="KI62">
            <v>0</v>
          </cell>
          <cell r="KJ62">
            <v>0</v>
          </cell>
          <cell r="KK62">
            <v>0.66752199999999995</v>
          </cell>
          <cell r="KL62">
            <v>25.533939400000001</v>
          </cell>
          <cell r="KM62">
            <v>67.600000000000009</v>
          </cell>
          <cell r="KN62">
            <v>12.9</v>
          </cell>
          <cell r="KO62">
            <v>5.6000000000000005</v>
          </cell>
          <cell r="KP62">
            <v>6.4</v>
          </cell>
          <cell r="KQ62">
            <v>7.1</v>
          </cell>
          <cell r="KR62">
            <v>0.3</v>
          </cell>
          <cell r="KS62">
            <v>66</v>
          </cell>
          <cell r="KT62">
            <v>13.100000000000001</v>
          </cell>
          <cell r="KU62">
            <v>5.8999999999999995</v>
          </cell>
          <cell r="KV62">
            <v>7.0000000000000009</v>
          </cell>
          <cell r="KW62">
            <v>7.7</v>
          </cell>
          <cell r="KX62">
            <v>0.2</v>
          </cell>
          <cell r="KY62"/>
          <cell r="KZ62"/>
          <cell r="LA62"/>
          <cell r="LB62"/>
          <cell r="LC62"/>
          <cell r="LD62"/>
          <cell r="LE62"/>
          <cell r="LF62"/>
          <cell r="LG62"/>
          <cell r="LH62"/>
          <cell r="LI62"/>
          <cell r="LJ62"/>
          <cell r="LK62"/>
          <cell r="LL62"/>
          <cell r="LM62"/>
          <cell r="LN62"/>
          <cell r="LO62"/>
        </row>
        <row r="63">
          <cell r="A63" t="str">
            <v>EnsHZ</v>
          </cell>
          <cell r="B63" t="str">
            <v>63</v>
          </cell>
          <cell r="C63" t="str">
            <v>NAF 17</v>
          </cell>
          <cell r="D63" t="str">
            <v>HZ</v>
          </cell>
          <cell r="E63" t="str">
            <v/>
          </cell>
          <cell r="F63">
            <v>1</v>
          </cell>
          <cell r="G63">
            <v>21.8</v>
          </cell>
          <cell r="H63">
            <v>34</v>
          </cell>
          <cell r="I63">
            <v>26.200000000000003</v>
          </cell>
          <cell r="J63">
            <v>17</v>
          </cell>
          <cell r="K63">
            <v>82</v>
          </cell>
          <cell r="L63">
            <v>12</v>
          </cell>
          <cell r="M63">
            <v>5.0999999999999996</v>
          </cell>
          <cell r="N63">
            <v>0.89999999999999991</v>
          </cell>
          <cell r="O63">
            <v>35.5</v>
          </cell>
          <cell r="P63">
            <v>40.400000000000006</v>
          </cell>
          <cell r="Q63">
            <v>13.700000000000001</v>
          </cell>
          <cell r="R63">
            <v>5.5</v>
          </cell>
          <cell r="S63">
            <v>12</v>
          </cell>
          <cell r="T63">
            <v>38.5</v>
          </cell>
          <cell r="U63">
            <v>4.8</v>
          </cell>
          <cell r="V63">
            <v>14.099999999999998</v>
          </cell>
          <cell r="W63">
            <v>19</v>
          </cell>
          <cell r="X63">
            <v>76.2</v>
          </cell>
          <cell r="Y63">
            <v>4.8</v>
          </cell>
          <cell r="Z63">
            <v>4.3</v>
          </cell>
          <cell r="AA63">
            <v>47.3</v>
          </cell>
          <cell r="AB63">
            <v>4.3</v>
          </cell>
          <cell r="AC63">
            <v>73.400000000000006</v>
          </cell>
          <cell r="AD63">
            <v>23.400000000000002</v>
          </cell>
          <cell r="AE63">
            <v>68.8</v>
          </cell>
          <cell r="AF63">
            <v>31.2</v>
          </cell>
          <cell r="AG63">
            <v>79.900000000000006</v>
          </cell>
          <cell r="AH63">
            <v>20.100000000000001</v>
          </cell>
          <cell r="AI63">
            <v>48.6</v>
          </cell>
          <cell r="AJ63">
            <v>8.6</v>
          </cell>
          <cell r="AK63">
            <v>0.6</v>
          </cell>
          <cell r="AL63">
            <v>37.799999999999997</v>
          </cell>
          <cell r="AM63">
            <v>4.3999999999999995</v>
          </cell>
          <cell r="AN63">
            <v>5.7</v>
          </cell>
          <cell r="AO63">
            <v>1.7000000000000002</v>
          </cell>
          <cell r="AP63">
            <v>4.1000000000000005</v>
          </cell>
          <cell r="AQ63">
            <v>71.8</v>
          </cell>
          <cell r="AR63">
            <v>16.7</v>
          </cell>
          <cell r="AS63">
            <v>52.1</v>
          </cell>
          <cell r="AT63">
            <v>19</v>
          </cell>
          <cell r="AU63">
            <v>11.200000000000001</v>
          </cell>
          <cell r="AV63">
            <v>4.2</v>
          </cell>
          <cell r="AW63">
            <v>8.6</v>
          </cell>
          <cell r="AX63">
            <v>5</v>
          </cell>
          <cell r="AY63">
            <v>1.0999999999999999</v>
          </cell>
          <cell r="AZ63">
            <v>16</v>
          </cell>
          <cell r="BA63">
            <v>2.2999999999999998</v>
          </cell>
          <cell r="BB63">
            <v>11.899999999999999</v>
          </cell>
          <cell r="BC63">
            <v>28.799999999999997</v>
          </cell>
          <cell r="BD63">
            <v>39.900000000000006</v>
          </cell>
          <cell r="BE63">
            <v>1.4000000000000001</v>
          </cell>
          <cell r="BF63">
            <v>3</v>
          </cell>
          <cell r="BG63">
            <v>1.7000000000000002</v>
          </cell>
          <cell r="BH63">
            <v>12.4</v>
          </cell>
          <cell r="BI63">
            <v>41.6</v>
          </cell>
          <cell r="BJ63">
            <v>39.900000000000006</v>
          </cell>
          <cell r="BK63" t="str">
            <v>nd</v>
          </cell>
          <cell r="BL63">
            <v>0</v>
          </cell>
          <cell r="BM63" t="str">
            <v>nd</v>
          </cell>
          <cell r="BN63">
            <v>6.6000000000000005</v>
          </cell>
          <cell r="BO63">
            <v>79.7</v>
          </cell>
          <cell r="BP63">
            <v>13.600000000000001</v>
          </cell>
          <cell r="BQ63" t="str">
            <v>nd</v>
          </cell>
          <cell r="BR63" t="str">
            <v>nd</v>
          </cell>
          <cell r="BS63">
            <v>0.4</v>
          </cell>
          <cell r="BT63">
            <v>16.2</v>
          </cell>
          <cell r="BU63">
            <v>66.900000000000006</v>
          </cell>
          <cell r="BV63">
            <v>16.3</v>
          </cell>
          <cell r="BW63">
            <v>0</v>
          </cell>
          <cell r="BX63">
            <v>0</v>
          </cell>
          <cell r="BY63">
            <v>0</v>
          </cell>
          <cell r="BZ63">
            <v>0</v>
          </cell>
          <cell r="CA63">
            <v>7.7</v>
          </cell>
          <cell r="CB63">
            <v>92.300000000000011</v>
          </cell>
          <cell r="CC63">
            <v>18.2</v>
          </cell>
          <cell r="CD63">
            <v>6.3</v>
          </cell>
          <cell r="CE63">
            <v>0.5</v>
          </cell>
          <cell r="CF63">
            <v>1.2</v>
          </cell>
          <cell r="CG63">
            <v>0.6</v>
          </cell>
          <cell r="CH63">
            <v>11.1</v>
          </cell>
          <cell r="CI63">
            <v>4.5</v>
          </cell>
          <cell r="CJ63">
            <v>68.5</v>
          </cell>
          <cell r="CK63">
            <v>49.8</v>
          </cell>
          <cell r="CL63">
            <v>8</v>
          </cell>
          <cell r="CM63">
            <v>3</v>
          </cell>
          <cell r="CN63">
            <v>2.2999999999999998</v>
          </cell>
          <cell r="CO63">
            <v>49.1</v>
          </cell>
          <cell r="CP63">
            <v>13.200000000000001</v>
          </cell>
          <cell r="CQ63">
            <v>26.3</v>
          </cell>
          <cell r="CR63">
            <v>16.3</v>
          </cell>
          <cell r="CS63">
            <v>44.3</v>
          </cell>
          <cell r="CT63">
            <v>27.3</v>
          </cell>
          <cell r="CU63">
            <v>72.7</v>
          </cell>
          <cell r="CV63">
            <v>18</v>
          </cell>
          <cell r="CW63">
            <v>82</v>
          </cell>
          <cell r="CX63">
            <v>18.7</v>
          </cell>
          <cell r="CY63">
            <v>27.800000000000004</v>
          </cell>
          <cell r="CZ63">
            <v>53.5</v>
          </cell>
          <cell r="DA63">
            <v>27.3</v>
          </cell>
          <cell r="DB63">
            <v>4.8</v>
          </cell>
          <cell r="DC63">
            <v>12.7</v>
          </cell>
          <cell r="DD63" t="str">
            <v>nd</v>
          </cell>
          <cell r="DE63">
            <v>70.899999999999991</v>
          </cell>
          <cell r="DF63">
            <v>14.2</v>
          </cell>
          <cell r="DG63">
            <v>5.4</v>
          </cell>
          <cell r="DH63">
            <v>18.5</v>
          </cell>
          <cell r="DI63">
            <v>8.6999999999999993</v>
          </cell>
          <cell r="DJ63">
            <v>33.700000000000003</v>
          </cell>
          <cell r="DK63">
            <v>19.5</v>
          </cell>
          <cell r="DL63">
            <v>14.899999999999999</v>
          </cell>
          <cell r="DM63">
            <v>49.7</v>
          </cell>
          <cell r="DN63">
            <v>13.700000000000001</v>
          </cell>
          <cell r="DO63">
            <v>26.6</v>
          </cell>
          <cell r="DP63">
            <v>4.2</v>
          </cell>
          <cell r="DQ63">
            <v>1.7999999999999998</v>
          </cell>
          <cell r="DR63">
            <v>3.5000000000000004</v>
          </cell>
          <cell r="DS63">
            <v>9.8000000000000007</v>
          </cell>
          <cell r="DT63">
            <v>23</v>
          </cell>
          <cell r="DU63" t="str">
            <v>nd</v>
          </cell>
          <cell r="DV63">
            <v>0.43797700000000001</v>
          </cell>
          <cell r="DW63">
            <v>0</v>
          </cell>
          <cell r="DX63" t="str">
            <v>nd</v>
          </cell>
          <cell r="DY63">
            <v>0.32855800000000002</v>
          </cell>
          <cell r="DZ63">
            <v>2.7146699999999999</v>
          </cell>
          <cell r="EA63">
            <v>8.363509800000001</v>
          </cell>
          <cell r="EB63">
            <v>1.0600500000000002</v>
          </cell>
          <cell r="EC63">
            <v>2.3201700000000001</v>
          </cell>
          <cell r="ED63">
            <v>7.0824666999999994</v>
          </cell>
          <cell r="EE63">
            <v>0.29724600000000001</v>
          </cell>
          <cell r="EF63">
            <v>20.708719500000001</v>
          </cell>
          <cell r="EG63">
            <v>8.3772348999999995</v>
          </cell>
          <cell r="EH63">
            <v>0.66011200000000003</v>
          </cell>
          <cell r="EI63">
            <v>1.0920799999999999</v>
          </cell>
          <cell r="EJ63">
            <v>0.88454999999999995</v>
          </cell>
          <cell r="EK63">
            <v>1.1373599999999999</v>
          </cell>
          <cell r="EL63">
            <v>21.199851200000001</v>
          </cell>
          <cell r="EM63">
            <v>1.9039299999999999</v>
          </cell>
          <cell r="EN63">
            <v>0.50287800000000005</v>
          </cell>
          <cell r="EO63" t="str">
            <v>nd</v>
          </cell>
          <cell r="EP63" t="str">
            <v>nd</v>
          </cell>
          <cell r="EQ63">
            <v>2.9425500000000002</v>
          </cell>
          <cell r="ER63">
            <v>6.8899383999999992</v>
          </cell>
          <cell r="ES63">
            <v>0.75455399999999995</v>
          </cell>
          <cell r="ET63" t="str">
            <v>nd</v>
          </cell>
          <cell r="EU63">
            <v>0.581959</v>
          </cell>
          <cell r="EV63">
            <v>0</v>
          </cell>
          <cell r="EW63">
            <v>0.28270200000000001</v>
          </cell>
          <cell r="EX63">
            <v>0</v>
          </cell>
          <cell r="EY63">
            <v>0.24437800000000001</v>
          </cell>
          <cell r="EZ63">
            <v>0</v>
          </cell>
          <cell r="FA63" t="str">
            <v>nd</v>
          </cell>
          <cell r="FB63">
            <v>0.71708899999999998</v>
          </cell>
          <cell r="FC63">
            <v>0.31703799999999999</v>
          </cell>
          <cell r="FD63" t="str">
            <v>nd</v>
          </cell>
          <cell r="FE63">
            <v>1.3514200000000001</v>
          </cell>
          <cell r="FF63">
            <v>6.5930359999999997</v>
          </cell>
          <cell r="FG63">
            <v>2.4849000000000001</v>
          </cell>
          <cell r="FH63">
            <v>4.1690499999999995</v>
          </cell>
          <cell r="FI63">
            <v>0.73293999999999992</v>
          </cell>
          <cell r="FJ63">
            <v>0.116949</v>
          </cell>
          <cell r="FK63" t="str">
            <v>nd</v>
          </cell>
          <cell r="FL63">
            <v>4.0442800000000005</v>
          </cell>
          <cell r="FM63">
            <v>15.2466975</v>
          </cell>
          <cell r="FN63">
            <v>12.419535</v>
          </cell>
          <cell r="FO63" t="str">
            <v>nd</v>
          </cell>
          <cell r="FP63" t="str">
            <v>nd</v>
          </cell>
          <cell r="FQ63">
            <v>0.25956999999999997</v>
          </cell>
          <cell r="FR63">
            <v>1.1712</v>
          </cell>
          <cell r="FS63">
            <v>8.7396186999999994</v>
          </cell>
          <cell r="FT63">
            <v>17.147104899999999</v>
          </cell>
          <cell r="FU63">
            <v>0</v>
          </cell>
          <cell r="FV63">
            <v>9.3797038999999991</v>
          </cell>
          <cell r="FW63" t="str">
            <v>nd</v>
          </cell>
          <cell r="FX63">
            <v>0.124475</v>
          </cell>
          <cell r="FY63">
            <v>1.6007100000000001</v>
          </cell>
          <cell r="FZ63">
            <v>5.4668399999999995</v>
          </cell>
          <cell r="GA63">
            <v>0.577708</v>
          </cell>
          <cell r="GB63" t="str">
            <v>nd</v>
          </cell>
          <cell r="GC63">
            <v>0</v>
          </cell>
          <cell r="GD63">
            <v>0</v>
          </cell>
          <cell r="GE63" t="str">
            <v>nd</v>
          </cell>
          <cell r="GF63">
            <v>0.60182599999999997</v>
          </cell>
          <cell r="GG63">
            <v>2.7621199999999999</v>
          </cell>
          <cell r="GH63">
            <v>1.1332200000000001</v>
          </cell>
          <cell r="GI63">
            <v>6.5999383999999992</v>
          </cell>
          <cell r="GJ63">
            <v>9.4499437999999998</v>
          </cell>
          <cell r="GK63">
            <v>1.36653</v>
          </cell>
          <cell r="GL63" t="str">
            <v>nd</v>
          </cell>
          <cell r="GM63">
            <v>0</v>
          </cell>
          <cell r="GN63">
            <v>0.52230699999999997</v>
          </cell>
          <cell r="GO63">
            <v>4.8493300000000001</v>
          </cell>
          <cell r="GP63">
            <v>11.838102899999999</v>
          </cell>
          <cell r="GQ63">
            <v>15.320307699999999</v>
          </cell>
          <cell r="GR63">
            <v>0</v>
          </cell>
          <cell r="GS63">
            <v>0</v>
          </cell>
          <cell r="GT63" t="str">
            <v>nd</v>
          </cell>
          <cell r="GU63">
            <v>0.76517800000000002</v>
          </cell>
          <cell r="GV63">
            <v>9.0195243999999999</v>
          </cell>
          <cell r="GW63">
            <v>17.3777589</v>
          </cell>
          <cell r="GX63" t="str">
            <v>nd</v>
          </cell>
          <cell r="GY63">
            <v>0</v>
          </cell>
          <cell r="GZ63">
            <v>0</v>
          </cell>
          <cell r="HA63" t="str">
            <v>nd</v>
          </cell>
          <cell r="HB63">
            <v>11.675916899999999</v>
          </cell>
          <cell r="HC63">
            <v>5.2786399999999993</v>
          </cell>
          <cell r="HD63">
            <v>0</v>
          </cell>
          <cell r="HE63">
            <v>0.60101199999999999</v>
          </cell>
          <cell r="HF63">
            <v>0</v>
          </cell>
          <cell r="HG63">
            <v>0.23793299999999998</v>
          </cell>
          <cell r="HH63" t="str">
            <v>nd</v>
          </cell>
          <cell r="HI63">
            <v>0</v>
          </cell>
          <cell r="HJ63">
            <v>0</v>
          </cell>
          <cell r="HK63" t="str">
            <v>nd</v>
          </cell>
          <cell r="HL63">
            <v>1.01444</v>
          </cell>
          <cell r="HM63">
            <v>18.357910699999998</v>
          </cell>
          <cell r="HN63">
            <v>2.3460399999999999</v>
          </cell>
          <cell r="HO63" t="str">
            <v>nd</v>
          </cell>
          <cell r="HP63">
            <v>0</v>
          </cell>
          <cell r="HQ63">
            <v>0</v>
          </cell>
          <cell r="HR63">
            <v>2.36009</v>
          </cell>
          <cell r="HS63">
            <v>26.958508300000002</v>
          </cell>
          <cell r="HT63">
            <v>3.7189600000000005</v>
          </cell>
          <cell r="HU63">
            <v>0</v>
          </cell>
          <cell r="HV63">
            <v>0</v>
          </cell>
          <cell r="HW63">
            <v>0</v>
          </cell>
          <cell r="HX63">
            <v>2.0913900000000001</v>
          </cell>
          <cell r="HY63">
            <v>18.189042699999998</v>
          </cell>
          <cell r="HZ63">
            <v>6.5619897999999992</v>
          </cell>
          <cell r="IA63">
            <v>0</v>
          </cell>
          <cell r="IB63">
            <v>0</v>
          </cell>
          <cell r="IC63">
            <v>0</v>
          </cell>
          <cell r="ID63">
            <v>0.92048000000000008</v>
          </cell>
          <cell r="IE63">
            <v>15.551290100000001</v>
          </cell>
          <cell r="IF63">
            <v>0.81808000000000003</v>
          </cell>
          <cell r="IG63">
            <v>0</v>
          </cell>
          <cell r="IH63">
            <v>0.69287200000000004</v>
          </cell>
          <cell r="II63">
            <v>0</v>
          </cell>
          <cell r="IJ63">
            <v>0.25217400000000001</v>
          </cell>
          <cell r="IK63" t="str">
            <v>nd</v>
          </cell>
          <cell r="IL63" t="str">
            <v>nd</v>
          </cell>
          <cell r="IM63" t="str">
            <v>nd</v>
          </cell>
          <cell r="IN63">
            <v>0</v>
          </cell>
          <cell r="IO63">
            <v>7.9878610999999999</v>
          </cell>
          <cell r="IP63">
            <v>9.784243</v>
          </cell>
          <cell r="IQ63">
            <v>3.7445499999999998</v>
          </cell>
          <cell r="IR63">
            <v>0</v>
          </cell>
          <cell r="IS63" t="str">
            <v>nd</v>
          </cell>
          <cell r="IT63" t="str">
            <v>nd</v>
          </cell>
          <cell r="IU63">
            <v>4.48489</v>
          </cell>
          <cell r="IV63">
            <v>23.716119799999998</v>
          </cell>
          <cell r="IW63">
            <v>4.5271800000000004</v>
          </cell>
          <cell r="IX63">
            <v>0</v>
          </cell>
          <cell r="IY63">
            <v>0</v>
          </cell>
          <cell r="IZ63">
            <v>0.28693600000000002</v>
          </cell>
          <cell r="JA63">
            <v>2.37581</v>
          </cell>
          <cell r="JB63">
            <v>18.7671478</v>
          </cell>
          <cell r="JC63">
            <v>5.6794799999999999</v>
          </cell>
          <cell r="JD63">
            <v>0</v>
          </cell>
          <cell r="JE63">
            <v>0</v>
          </cell>
          <cell r="JF63">
            <v>0</v>
          </cell>
          <cell r="JG63">
            <v>1.5080199999999999</v>
          </cell>
          <cell r="JH63">
            <v>13.468047499999999</v>
          </cell>
          <cell r="JI63">
            <v>2.27305</v>
          </cell>
          <cell r="JJ63">
            <v>0</v>
          </cell>
          <cell r="JK63">
            <v>0.20873900000000001</v>
          </cell>
          <cell r="JL63">
            <v>0</v>
          </cell>
          <cell r="JM63">
            <v>0</v>
          </cell>
          <cell r="JN63">
            <v>0.84063999999999994</v>
          </cell>
          <cell r="JO63">
            <v>0</v>
          </cell>
          <cell r="JP63">
            <v>0</v>
          </cell>
          <cell r="JQ63">
            <v>0</v>
          </cell>
          <cell r="JR63">
            <v>0</v>
          </cell>
          <cell r="JS63">
            <v>7.0424908999999998</v>
          </cell>
          <cell r="JT63">
            <v>14.581175699999999</v>
          </cell>
          <cell r="JU63">
            <v>0</v>
          </cell>
          <cell r="JV63">
            <v>0</v>
          </cell>
          <cell r="JW63">
            <v>0</v>
          </cell>
          <cell r="JX63">
            <v>0</v>
          </cell>
          <cell r="JY63">
            <v>0.22586400000000001</v>
          </cell>
          <cell r="JZ63">
            <v>32.544572100000003</v>
          </cell>
          <cell r="KA63">
            <v>0</v>
          </cell>
          <cell r="KB63">
            <v>0</v>
          </cell>
          <cell r="KC63">
            <v>0</v>
          </cell>
          <cell r="KD63">
            <v>0</v>
          </cell>
          <cell r="KE63">
            <v>0.60309699999999999</v>
          </cell>
          <cell r="KF63">
            <v>26.852343400000002</v>
          </cell>
          <cell r="KG63">
            <v>0</v>
          </cell>
          <cell r="KH63">
            <v>0</v>
          </cell>
          <cell r="KI63">
            <v>0</v>
          </cell>
          <cell r="KJ63">
            <v>0</v>
          </cell>
          <cell r="KK63">
            <v>0</v>
          </cell>
          <cell r="KL63">
            <v>17.101079899999998</v>
          </cell>
          <cell r="KM63">
            <v>62</v>
          </cell>
          <cell r="KN63">
            <v>14.399999999999999</v>
          </cell>
          <cell r="KO63">
            <v>9.3000000000000007</v>
          </cell>
          <cell r="KP63">
            <v>6.2</v>
          </cell>
          <cell r="KQ63">
            <v>7.8</v>
          </cell>
          <cell r="KR63">
            <v>0.3</v>
          </cell>
          <cell r="KS63">
            <v>60.3</v>
          </cell>
          <cell r="KT63">
            <v>14.899999999999999</v>
          </cell>
          <cell r="KU63">
            <v>9.7000000000000011</v>
          </cell>
          <cell r="KV63">
            <v>6.3</v>
          </cell>
          <cell r="KW63">
            <v>8.5</v>
          </cell>
          <cell r="KX63">
            <v>0.2</v>
          </cell>
          <cell r="KY63"/>
          <cell r="KZ63"/>
          <cell r="LA63"/>
          <cell r="LB63"/>
          <cell r="LC63"/>
          <cell r="LD63"/>
          <cell r="LE63"/>
          <cell r="LF63"/>
          <cell r="LG63"/>
          <cell r="LH63"/>
          <cell r="LI63"/>
          <cell r="LJ63"/>
          <cell r="LK63"/>
          <cell r="LL63"/>
          <cell r="LM63"/>
          <cell r="LN63"/>
          <cell r="LO63"/>
        </row>
        <row r="64">
          <cell r="A64" t="str">
            <v>1HZ</v>
          </cell>
          <cell r="B64" t="str">
            <v>64</v>
          </cell>
          <cell r="C64" t="str">
            <v>NAF 17</v>
          </cell>
          <cell r="D64" t="str">
            <v>HZ</v>
          </cell>
          <cell r="E64" t="str">
            <v>1</v>
          </cell>
          <cell r="F64">
            <v>2.7</v>
          </cell>
          <cell r="G64">
            <v>21.2</v>
          </cell>
          <cell r="H64">
            <v>28.199999999999996</v>
          </cell>
          <cell r="I64">
            <v>40</v>
          </cell>
          <cell r="J64">
            <v>7.9</v>
          </cell>
          <cell r="K64">
            <v>70.199999999999989</v>
          </cell>
          <cell r="L64">
            <v>15.8</v>
          </cell>
          <cell r="M64" t="str">
            <v>nd</v>
          </cell>
          <cell r="N64" t="str">
            <v>nd</v>
          </cell>
          <cell r="O64">
            <v>34.200000000000003</v>
          </cell>
          <cell r="P64">
            <v>17.100000000000001</v>
          </cell>
          <cell r="Q64">
            <v>6.3</v>
          </cell>
          <cell r="R64">
            <v>3.2</v>
          </cell>
          <cell r="S64">
            <v>21.7</v>
          </cell>
          <cell r="T64">
            <v>40.300000000000004</v>
          </cell>
          <cell r="U64">
            <v>8.6999999999999993</v>
          </cell>
          <cell r="V64">
            <v>16.8</v>
          </cell>
          <cell r="W64">
            <v>9.3000000000000007</v>
          </cell>
          <cell r="X64">
            <v>87.8</v>
          </cell>
          <cell r="Y64">
            <v>2.9000000000000004</v>
          </cell>
          <cell r="Z64" t="str">
            <v>nd</v>
          </cell>
          <cell r="AA64">
            <v>37.5</v>
          </cell>
          <cell r="AB64" t="str">
            <v>nd</v>
          </cell>
          <cell r="AC64">
            <v>59.4</v>
          </cell>
          <cell r="AD64" t="str">
            <v>nd</v>
          </cell>
          <cell r="AE64">
            <v>32.9</v>
          </cell>
          <cell r="AF64">
            <v>67.100000000000009</v>
          </cell>
          <cell r="AG64">
            <v>19.5</v>
          </cell>
          <cell r="AH64">
            <v>80.5</v>
          </cell>
          <cell r="AI64">
            <v>67</v>
          </cell>
          <cell r="AJ64">
            <v>17</v>
          </cell>
          <cell r="AK64">
            <v>0</v>
          </cell>
          <cell r="AL64">
            <v>13</v>
          </cell>
          <cell r="AM64" t="str">
            <v>nd</v>
          </cell>
          <cell r="AN64">
            <v>0</v>
          </cell>
          <cell r="AO64">
            <v>0</v>
          </cell>
          <cell r="AP64" t="str">
            <v>nd</v>
          </cell>
          <cell r="AQ64">
            <v>94.199999999999989</v>
          </cell>
          <cell r="AR64">
            <v>0</v>
          </cell>
          <cell r="AS64">
            <v>75.099999999999994</v>
          </cell>
          <cell r="AT64">
            <v>10.4</v>
          </cell>
          <cell r="AU64" t="str">
            <v>nd</v>
          </cell>
          <cell r="AV64" t="str">
            <v>nd</v>
          </cell>
          <cell r="AW64">
            <v>6.7</v>
          </cell>
          <cell r="AX64">
            <v>3.2</v>
          </cell>
          <cell r="AY64">
            <v>1.4000000000000001</v>
          </cell>
          <cell r="AZ64">
            <v>0</v>
          </cell>
          <cell r="BA64">
            <v>0</v>
          </cell>
          <cell r="BB64" t="str">
            <v>nd</v>
          </cell>
          <cell r="BC64">
            <v>3</v>
          </cell>
          <cell r="BD64">
            <v>93.5</v>
          </cell>
          <cell r="BE64">
            <v>4.7</v>
          </cell>
          <cell r="BF64" t="str">
            <v>nd</v>
          </cell>
          <cell r="BG64" t="str">
            <v>nd</v>
          </cell>
          <cell r="BH64">
            <v>3</v>
          </cell>
          <cell r="BI64">
            <v>15.7</v>
          </cell>
          <cell r="BJ64">
            <v>71.5</v>
          </cell>
          <cell r="BK64">
            <v>0</v>
          </cell>
          <cell r="BL64">
            <v>0</v>
          </cell>
          <cell r="BM64" t="str">
            <v>nd</v>
          </cell>
          <cell r="BN64">
            <v>8.4</v>
          </cell>
          <cell r="BO64">
            <v>36.1</v>
          </cell>
          <cell r="BP64">
            <v>54.300000000000004</v>
          </cell>
          <cell r="BQ64">
            <v>0</v>
          </cell>
          <cell r="BR64">
            <v>0</v>
          </cell>
          <cell r="BS64">
            <v>0</v>
          </cell>
          <cell r="BT64">
            <v>6.5</v>
          </cell>
          <cell r="BU64">
            <v>41.199999999999996</v>
          </cell>
          <cell r="BV64">
            <v>52.2</v>
          </cell>
          <cell r="BW64">
            <v>0</v>
          </cell>
          <cell r="BX64">
            <v>0</v>
          </cell>
          <cell r="BY64">
            <v>0</v>
          </cell>
          <cell r="BZ64">
            <v>0</v>
          </cell>
          <cell r="CA64" t="str">
            <v>nd</v>
          </cell>
          <cell r="CB64">
            <v>97.6</v>
          </cell>
          <cell r="CC64">
            <v>16.5</v>
          </cell>
          <cell r="CD64" t="str">
            <v>nd</v>
          </cell>
          <cell r="CE64">
            <v>0</v>
          </cell>
          <cell r="CF64">
            <v>0</v>
          </cell>
          <cell r="CG64">
            <v>0</v>
          </cell>
          <cell r="CH64">
            <v>9.1999999999999993</v>
          </cell>
          <cell r="CI64">
            <v>2</v>
          </cell>
          <cell r="CJ64">
            <v>76.099999999999994</v>
          </cell>
          <cell r="CK64">
            <v>23</v>
          </cell>
          <cell r="CL64" t="str">
            <v>nd</v>
          </cell>
          <cell r="CM64" t="str">
            <v>nd</v>
          </cell>
          <cell r="CN64" t="str">
            <v>nd</v>
          </cell>
          <cell r="CO64">
            <v>74</v>
          </cell>
          <cell r="CP64">
            <v>21.099999999999998</v>
          </cell>
          <cell r="CQ64">
            <v>20.200000000000003</v>
          </cell>
          <cell r="CR64">
            <v>16.600000000000001</v>
          </cell>
          <cell r="CS64">
            <v>42</v>
          </cell>
          <cell r="CT64">
            <v>6.2</v>
          </cell>
          <cell r="CU64">
            <v>93.8</v>
          </cell>
          <cell r="CV64">
            <v>9.4</v>
          </cell>
          <cell r="CW64">
            <v>90.600000000000009</v>
          </cell>
          <cell r="CX64">
            <v>15.7</v>
          </cell>
          <cell r="CY64">
            <v>28.199999999999996</v>
          </cell>
          <cell r="CZ64">
            <v>56.100000000000009</v>
          </cell>
          <cell r="DA64">
            <v>18.3</v>
          </cell>
          <cell r="DB64" t="str">
            <v>nd</v>
          </cell>
          <cell r="DC64">
            <v>0</v>
          </cell>
          <cell r="DD64">
            <v>0</v>
          </cell>
          <cell r="DE64">
            <v>62.7</v>
          </cell>
          <cell r="DF64">
            <v>19.600000000000001</v>
          </cell>
          <cell r="DG64">
            <v>4.3</v>
          </cell>
          <cell r="DH64">
            <v>10.299999999999999</v>
          </cell>
          <cell r="DI64">
            <v>10.6</v>
          </cell>
          <cell r="DJ64">
            <v>24.4</v>
          </cell>
          <cell r="DK64">
            <v>30.8</v>
          </cell>
          <cell r="DL64">
            <v>29.599999999999998</v>
          </cell>
          <cell r="DM64">
            <v>48.6</v>
          </cell>
          <cell r="DN64">
            <v>9.6</v>
          </cell>
          <cell r="DO64">
            <v>22.2</v>
          </cell>
          <cell r="DP64">
            <v>3.5999999999999996</v>
          </cell>
          <cell r="DQ64">
            <v>0</v>
          </cell>
          <cell r="DR64" t="str">
            <v>nd</v>
          </cell>
          <cell r="DS64">
            <v>4.3</v>
          </cell>
          <cell r="DT64">
            <v>10.8</v>
          </cell>
          <cell r="DU64" t="str">
            <v>nd</v>
          </cell>
          <cell r="DV64">
            <v>0</v>
          </cell>
          <cell r="DW64">
            <v>0</v>
          </cell>
          <cell r="DX64">
            <v>0</v>
          </cell>
          <cell r="DY64" t="str">
            <v>nd</v>
          </cell>
          <cell r="DZ64">
            <v>10.9500189</v>
          </cell>
          <cell r="EA64">
            <v>2.9762200000000001</v>
          </cell>
          <cell r="EB64">
            <v>0</v>
          </cell>
          <cell r="EC64" t="str">
            <v>nd</v>
          </cell>
          <cell r="ED64">
            <v>4.6567999999999996</v>
          </cell>
          <cell r="EE64">
            <v>0</v>
          </cell>
          <cell r="EF64">
            <v>20.798098400000001</v>
          </cell>
          <cell r="EG64">
            <v>7.0717975000000006</v>
          </cell>
          <cell r="EH64" t="str">
            <v>nd</v>
          </cell>
          <cell r="EI64">
            <v>0</v>
          </cell>
          <cell r="EJ64">
            <v>0</v>
          </cell>
          <cell r="EK64">
            <v>0</v>
          </cell>
          <cell r="EL64">
            <v>34.186497100000004</v>
          </cell>
          <cell r="EM64">
            <v>0</v>
          </cell>
          <cell r="EN64">
            <v>0</v>
          </cell>
          <cell r="EO64" t="str">
            <v>nd</v>
          </cell>
          <cell r="EP64" t="str">
            <v>nd</v>
          </cell>
          <cell r="EQ64" t="str">
            <v>nd</v>
          </cell>
          <cell r="ER64">
            <v>8.6937075999999998</v>
          </cell>
          <cell r="ES64" t="str">
            <v>nd</v>
          </cell>
          <cell r="ET64" t="str">
            <v>nd</v>
          </cell>
          <cell r="EU64">
            <v>0</v>
          </cell>
          <cell r="EV64">
            <v>0</v>
          </cell>
          <cell r="EW64">
            <v>0</v>
          </cell>
          <cell r="EX64">
            <v>0</v>
          </cell>
          <cell r="EY64" t="str">
            <v>nd</v>
          </cell>
          <cell r="EZ64">
            <v>0</v>
          </cell>
          <cell r="FA64">
            <v>0</v>
          </cell>
          <cell r="FB64" t="str">
            <v>nd</v>
          </cell>
          <cell r="FC64" t="str">
            <v>nd</v>
          </cell>
          <cell r="FD64">
            <v>0</v>
          </cell>
          <cell r="FE64">
            <v>0</v>
          </cell>
          <cell r="FF64" t="str">
            <v>nd</v>
          </cell>
          <cell r="FG64" t="str">
            <v>nd</v>
          </cell>
          <cell r="FH64">
            <v>16.853012800000002</v>
          </cell>
          <cell r="FI64" t="str">
            <v>nd</v>
          </cell>
          <cell r="FJ64">
            <v>0</v>
          </cell>
          <cell r="FK64">
            <v>0</v>
          </cell>
          <cell r="FL64">
            <v>0</v>
          </cell>
          <cell r="FM64">
            <v>0</v>
          </cell>
          <cell r="FN64">
            <v>27.540274799999999</v>
          </cell>
          <cell r="FO64" t="str">
            <v>nd</v>
          </cell>
          <cell r="FP64">
            <v>0</v>
          </cell>
          <cell r="FQ64">
            <v>0</v>
          </cell>
          <cell r="FR64">
            <v>0</v>
          </cell>
          <cell r="FS64">
            <v>0</v>
          </cell>
          <cell r="FT64">
            <v>44.008055400000003</v>
          </cell>
          <cell r="FU64">
            <v>0</v>
          </cell>
          <cell r="FV64">
            <v>0</v>
          </cell>
          <cell r="FW64">
            <v>0</v>
          </cell>
          <cell r="FX64" t="str">
            <v>nd</v>
          </cell>
          <cell r="FY64" t="str">
            <v>nd</v>
          </cell>
          <cell r="FZ64">
            <v>3.7552099999999999</v>
          </cell>
          <cell r="GA64" t="str">
            <v>nd</v>
          </cell>
          <cell r="GB64" t="str">
            <v>nd</v>
          </cell>
          <cell r="GC64">
            <v>0</v>
          </cell>
          <cell r="GD64">
            <v>0</v>
          </cell>
          <cell r="GE64">
            <v>0</v>
          </cell>
          <cell r="GF64" t="str">
            <v>nd</v>
          </cell>
          <cell r="GG64" t="str">
            <v>nd</v>
          </cell>
          <cell r="GH64" t="str">
            <v>nd</v>
          </cell>
          <cell r="GI64">
            <v>3.0082800000000001</v>
          </cell>
          <cell r="GJ64">
            <v>5.8045299999999997</v>
          </cell>
          <cell r="GK64">
            <v>8.2272071000000011</v>
          </cell>
          <cell r="GL64" t="str">
            <v>nd</v>
          </cell>
          <cell r="GM64">
            <v>0</v>
          </cell>
          <cell r="GN64" t="str">
            <v>nd</v>
          </cell>
          <cell r="GO64">
            <v>0</v>
          </cell>
          <cell r="GP64">
            <v>7.7946431999999994</v>
          </cell>
          <cell r="GQ64">
            <v>17.871395800000002</v>
          </cell>
          <cell r="GR64">
            <v>0</v>
          </cell>
          <cell r="GS64">
            <v>0</v>
          </cell>
          <cell r="GT64">
            <v>0</v>
          </cell>
          <cell r="GU64">
            <v>0</v>
          </cell>
          <cell r="GV64" t="str">
            <v>nd</v>
          </cell>
          <cell r="GW64">
            <v>40.323235600000004</v>
          </cell>
          <cell r="GX64">
            <v>0</v>
          </cell>
          <cell r="GY64">
            <v>0</v>
          </cell>
          <cell r="GZ64">
            <v>0</v>
          </cell>
          <cell r="HA64">
            <v>0</v>
          </cell>
          <cell r="HB64">
            <v>0</v>
          </cell>
          <cell r="HC64">
            <v>5.0861999999999998</v>
          </cell>
          <cell r="HD64">
            <v>0</v>
          </cell>
          <cell r="HE64" t="str">
            <v>nd</v>
          </cell>
          <cell r="HF64">
            <v>0</v>
          </cell>
          <cell r="HG64" t="str">
            <v>nd</v>
          </cell>
          <cell r="HH64">
            <v>0</v>
          </cell>
          <cell r="HI64">
            <v>0</v>
          </cell>
          <cell r="HJ64">
            <v>0</v>
          </cell>
          <cell r="HK64" t="str">
            <v>nd</v>
          </cell>
          <cell r="HL64" t="str">
            <v>nd</v>
          </cell>
          <cell r="HM64">
            <v>5.7060500000000003</v>
          </cell>
          <cell r="HN64">
            <v>14.363065899999999</v>
          </cell>
          <cell r="HO64">
            <v>0</v>
          </cell>
          <cell r="HP64">
            <v>0</v>
          </cell>
          <cell r="HQ64">
            <v>0</v>
          </cell>
          <cell r="HR64">
            <v>6.2113100000000001</v>
          </cell>
          <cell r="HS64">
            <v>9.3093453999999998</v>
          </cell>
          <cell r="HT64">
            <v>11.9545739</v>
          </cell>
          <cell r="HU64">
            <v>0</v>
          </cell>
          <cell r="HV64">
            <v>0</v>
          </cell>
          <cell r="HW64">
            <v>0</v>
          </cell>
          <cell r="HX64">
            <v>0</v>
          </cell>
          <cell r="HY64">
            <v>16.531911099999999</v>
          </cell>
          <cell r="HZ64">
            <v>24.313039199999999</v>
          </cell>
          <cell r="IA64">
            <v>0</v>
          </cell>
          <cell r="IB64">
            <v>0</v>
          </cell>
          <cell r="IC64">
            <v>0</v>
          </cell>
          <cell r="ID64" t="str">
            <v>nd</v>
          </cell>
          <cell r="IE64">
            <v>3.4133100000000001</v>
          </cell>
          <cell r="IF64">
            <v>3.6452</v>
          </cell>
          <cell r="IG64">
            <v>0</v>
          </cell>
          <cell r="IH64" t="str">
            <v>nd</v>
          </cell>
          <cell r="II64">
            <v>0</v>
          </cell>
          <cell r="IJ64">
            <v>0</v>
          </cell>
          <cell r="IK64" t="str">
            <v>nd</v>
          </cell>
          <cell r="IL64">
            <v>0</v>
          </cell>
          <cell r="IM64">
            <v>0</v>
          </cell>
          <cell r="IN64">
            <v>0</v>
          </cell>
          <cell r="IO64">
            <v>0</v>
          </cell>
          <cell r="IP64">
            <v>12.0771385</v>
          </cell>
          <cell r="IQ64">
            <v>10.1022868</v>
          </cell>
          <cell r="IR64">
            <v>0</v>
          </cell>
          <cell r="IS64">
            <v>0</v>
          </cell>
          <cell r="IT64">
            <v>0</v>
          </cell>
          <cell r="IU64">
            <v>5.3843500000000004</v>
          </cell>
          <cell r="IV64">
            <v>8.4331017999999993</v>
          </cell>
          <cell r="IW64">
            <v>16.903553199999998</v>
          </cell>
          <cell r="IX64">
            <v>0</v>
          </cell>
          <cell r="IY64">
            <v>0</v>
          </cell>
          <cell r="IZ64">
            <v>0</v>
          </cell>
          <cell r="JA64" t="str">
            <v>nd</v>
          </cell>
          <cell r="JB64">
            <v>16.712983699999999</v>
          </cell>
          <cell r="JC64">
            <v>21.862206100000002</v>
          </cell>
          <cell r="JD64">
            <v>0</v>
          </cell>
          <cell r="JE64">
            <v>0</v>
          </cell>
          <cell r="JF64">
            <v>0</v>
          </cell>
          <cell r="JG64">
            <v>0</v>
          </cell>
          <cell r="JH64">
            <v>2.9988299999999999</v>
          </cell>
          <cell r="JI64" t="str">
            <v>nd</v>
          </cell>
          <cell r="JJ64">
            <v>0</v>
          </cell>
          <cell r="JK64">
            <v>0</v>
          </cell>
          <cell r="JL64">
            <v>0</v>
          </cell>
          <cell r="JM64">
            <v>0</v>
          </cell>
          <cell r="JN64">
            <v>1.9515500000000001</v>
          </cell>
          <cell r="JO64">
            <v>0</v>
          </cell>
          <cell r="JP64">
            <v>0</v>
          </cell>
          <cell r="JQ64">
            <v>0</v>
          </cell>
          <cell r="JR64">
            <v>0</v>
          </cell>
          <cell r="JS64">
            <v>0</v>
          </cell>
          <cell r="JT64">
            <v>21.096134199999998</v>
          </cell>
          <cell r="JU64">
            <v>0</v>
          </cell>
          <cell r="JV64">
            <v>0</v>
          </cell>
          <cell r="JW64">
            <v>0</v>
          </cell>
          <cell r="JX64">
            <v>0</v>
          </cell>
          <cell r="JY64">
            <v>0</v>
          </cell>
          <cell r="JZ64">
            <v>28.307924800000002</v>
          </cell>
          <cell r="KA64">
            <v>0</v>
          </cell>
          <cell r="KB64">
            <v>0</v>
          </cell>
          <cell r="KC64">
            <v>0</v>
          </cell>
          <cell r="KD64">
            <v>0</v>
          </cell>
          <cell r="KE64" t="str">
            <v>nd</v>
          </cell>
          <cell r="KF64">
            <v>40.824125100000003</v>
          </cell>
          <cell r="KG64">
            <v>0</v>
          </cell>
          <cell r="KH64">
            <v>0</v>
          </cell>
          <cell r="KI64">
            <v>0</v>
          </cell>
          <cell r="KJ64">
            <v>0</v>
          </cell>
          <cell r="KK64">
            <v>0</v>
          </cell>
          <cell r="KL64">
            <v>5.3773</v>
          </cell>
          <cell r="KM64">
            <v>78.3</v>
          </cell>
          <cell r="KN64">
            <v>1.7999999999999998</v>
          </cell>
          <cell r="KO64">
            <v>9.8000000000000007</v>
          </cell>
          <cell r="KP64">
            <v>4</v>
          </cell>
          <cell r="KQ64">
            <v>6</v>
          </cell>
          <cell r="KR64">
            <v>0.1</v>
          </cell>
          <cell r="KS64">
            <v>77.7</v>
          </cell>
          <cell r="KT64">
            <v>1.9</v>
          </cell>
          <cell r="KU64">
            <v>9.7000000000000011</v>
          </cell>
          <cell r="KV64">
            <v>4.3</v>
          </cell>
          <cell r="KW64">
            <v>6.2</v>
          </cell>
          <cell r="KX64">
            <v>0.1</v>
          </cell>
          <cell r="KY64"/>
          <cell r="KZ64"/>
          <cell r="LA64"/>
          <cell r="LB64"/>
          <cell r="LC64"/>
          <cell r="LD64"/>
          <cell r="LE64"/>
          <cell r="LF64"/>
          <cell r="LG64"/>
          <cell r="LH64"/>
          <cell r="LI64"/>
          <cell r="LJ64"/>
          <cell r="LK64"/>
          <cell r="LL64"/>
          <cell r="LM64"/>
          <cell r="LN64"/>
          <cell r="LO64"/>
        </row>
        <row r="65">
          <cell r="A65" t="str">
            <v>2HZ</v>
          </cell>
          <cell r="B65" t="str">
            <v>65</v>
          </cell>
          <cell r="C65" t="str">
            <v>NAF 17</v>
          </cell>
          <cell r="D65" t="str">
            <v>HZ</v>
          </cell>
          <cell r="E65" t="str">
            <v>2</v>
          </cell>
          <cell r="F65" t="str">
            <v>nd</v>
          </cell>
          <cell r="G65">
            <v>9.1</v>
          </cell>
          <cell r="H65">
            <v>38.200000000000003</v>
          </cell>
          <cell r="I65">
            <v>39.6</v>
          </cell>
          <cell r="J65">
            <v>12.1</v>
          </cell>
          <cell r="K65">
            <v>70.099999999999994</v>
          </cell>
          <cell r="L65">
            <v>11.5</v>
          </cell>
          <cell r="M65">
            <v>16.3</v>
          </cell>
          <cell r="N65" t="str">
            <v>nd</v>
          </cell>
          <cell r="O65">
            <v>26.900000000000002</v>
          </cell>
          <cell r="P65">
            <v>21</v>
          </cell>
          <cell r="Q65">
            <v>4</v>
          </cell>
          <cell r="R65">
            <v>8.9</v>
          </cell>
          <cell r="S65">
            <v>23.3</v>
          </cell>
          <cell r="T65">
            <v>33</v>
          </cell>
          <cell r="U65">
            <v>8.6</v>
          </cell>
          <cell r="V65">
            <v>17.599999999999998</v>
          </cell>
          <cell r="W65">
            <v>11.200000000000001</v>
          </cell>
          <cell r="X65">
            <v>81.3</v>
          </cell>
          <cell r="Y65">
            <v>7.3999999999999995</v>
          </cell>
          <cell r="Z65" t="str">
            <v>nd</v>
          </cell>
          <cell r="AA65">
            <v>51.5</v>
          </cell>
          <cell r="AB65" t="str">
            <v>nd</v>
          </cell>
          <cell r="AC65">
            <v>56.3</v>
          </cell>
          <cell r="AD65">
            <v>25.2</v>
          </cell>
          <cell r="AE65">
            <v>39.1</v>
          </cell>
          <cell r="AF65">
            <v>60.9</v>
          </cell>
          <cell r="AG65">
            <v>51.2</v>
          </cell>
          <cell r="AH65">
            <v>48.8</v>
          </cell>
          <cell r="AI65">
            <v>50.5</v>
          </cell>
          <cell r="AJ65">
            <v>18.2</v>
          </cell>
          <cell r="AK65">
            <v>5.8999999999999995</v>
          </cell>
          <cell r="AL65">
            <v>24.9</v>
          </cell>
          <cell r="AM65" t="str">
            <v>nd</v>
          </cell>
          <cell r="AN65" t="str">
            <v>nd</v>
          </cell>
          <cell r="AO65" t="str">
            <v>nd</v>
          </cell>
          <cell r="AP65">
            <v>0</v>
          </cell>
          <cell r="AQ65">
            <v>91.3</v>
          </cell>
          <cell r="AR65" t="str">
            <v>nd</v>
          </cell>
          <cell r="AS65">
            <v>74.400000000000006</v>
          </cell>
          <cell r="AT65">
            <v>9.4</v>
          </cell>
          <cell r="AU65" t="str">
            <v>nd</v>
          </cell>
          <cell r="AV65">
            <v>4.9000000000000004</v>
          </cell>
          <cell r="AW65">
            <v>2.5</v>
          </cell>
          <cell r="AX65">
            <v>8.1</v>
          </cell>
          <cell r="AY65" t="str">
            <v>nd</v>
          </cell>
          <cell r="AZ65" t="str">
            <v>nd</v>
          </cell>
          <cell r="BA65">
            <v>0</v>
          </cell>
          <cell r="BB65">
            <v>0</v>
          </cell>
          <cell r="BC65">
            <v>14.499999999999998</v>
          </cell>
          <cell r="BD65">
            <v>83.7</v>
          </cell>
          <cell r="BE65" t="str">
            <v>nd</v>
          </cell>
          <cell r="BF65" t="str">
            <v>nd</v>
          </cell>
          <cell r="BG65" t="str">
            <v>nd</v>
          </cell>
          <cell r="BH65">
            <v>5</v>
          </cell>
          <cell r="BI65">
            <v>21.9</v>
          </cell>
          <cell r="BJ65">
            <v>69.399999999999991</v>
          </cell>
          <cell r="BK65">
            <v>0</v>
          </cell>
          <cell r="BL65">
            <v>0</v>
          </cell>
          <cell r="BM65">
            <v>0</v>
          </cell>
          <cell r="BN65">
            <v>1.7000000000000002</v>
          </cell>
          <cell r="BO65">
            <v>64.099999999999994</v>
          </cell>
          <cell r="BP65">
            <v>34.200000000000003</v>
          </cell>
          <cell r="BQ65" t="str">
            <v>nd</v>
          </cell>
          <cell r="BR65" t="str">
            <v>nd</v>
          </cell>
          <cell r="BS65">
            <v>0</v>
          </cell>
          <cell r="BT65">
            <v>2.9000000000000004</v>
          </cell>
          <cell r="BU65">
            <v>55.000000000000007</v>
          </cell>
          <cell r="BV65">
            <v>40.799999999999997</v>
          </cell>
          <cell r="BW65">
            <v>0</v>
          </cell>
          <cell r="BX65">
            <v>0</v>
          </cell>
          <cell r="BY65">
            <v>0</v>
          </cell>
          <cell r="BZ65">
            <v>0</v>
          </cell>
          <cell r="CA65" t="str">
            <v>nd</v>
          </cell>
          <cell r="CB65">
            <v>98.7</v>
          </cell>
          <cell r="CC65">
            <v>16.900000000000002</v>
          </cell>
          <cell r="CD65">
            <v>2.9000000000000004</v>
          </cell>
          <cell r="CE65" t="str">
            <v>nd</v>
          </cell>
          <cell r="CF65">
            <v>0</v>
          </cell>
          <cell r="CG65" t="str">
            <v>nd</v>
          </cell>
          <cell r="CH65">
            <v>14.7</v>
          </cell>
          <cell r="CI65">
            <v>4.7</v>
          </cell>
          <cell r="CJ65">
            <v>69.099999999999994</v>
          </cell>
          <cell r="CK65">
            <v>34.4</v>
          </cell>
          <cell r="CL65">
            <v>5.8999999999999995</v>
          </cell>
          <cell r="CM65">
            <v>6.1</v>
          </cell>
          <cell r="CN65">
            <v>4.5</v>
          </cell>
          <cell r="CO65">
            <v>66.600000000000009</v>
          </cell>
          <cell r="CP65">
            <v>21</v>
          </cell>
          <cell r="CQ65">
            <v>30.099999999999998</v>
          </cell>
          <cell r="CR65">
            <v>11.700000000000001</v>
          </cell>
          <cell r="CS65">
            <v>37.299999999999997</v>
          </cell>
          <cell r="CT65">
            <v>13.200000000000001</v>
          </cell>
          <cell r="CU65">
            <v>86.8</v>
          </cell>
          <cell r="CV65">
            <v>5.5</v>
          </cell>
          <cell r="CW65">
            <v>94.5</v>
          </cell>
          <cell r="CX65">
            <v>16.100000000000001</v>
          </cell>
          <cell r="CY65">
            <v>27</v>
          </cell>
          <cell r="CZ65">
            <v>56.899999999999991</v>
          </cell>
          <cell r="DA65" t="str">
            <v>nd</v>
          </cell>
          <cell r="DB65" t="str">
            <v>nd</v>
          </cell>
          <cell r="DC65" t="str">
            <v>nd</v>
          </cell>
          <cell r="DD65">
            <v>0</v>
          </cell>
          <cell r="DE65">
            <v>76.7</v>
          </cell>
          <cell r="DF65">
            <v>20.399999999999999</v>
          </cell>
          <cell r="DG65">
            <v>9.1999999999999993</v>
          </cell>
          <cell r="DH65">
            <v>8</v>
          </cell>
          <cell r="DI65">
            <v>13.900000000000002</v>
          </cell>
          <cell r="DJ65">
            <v>22.8</v>
          </cell>
          <cell r="DK65">
            <v>25.6</v>
          </cell>
          <cell r="DL65">
            <v>27.700000000000003</v>
          </cell>
          <cell r="DM65">
            <v>43.3</v>
          </cell>
          <cell r="DN65">
            <v>3</v>
          </cell>
          <cell r="DO65">
            <v>17.5</v>
          </cell>
          <cell r="DP65">
            <v>4.5</v>
          </cell>
          <cell r="DQ65">
            <v>0</v>
          </cell>
          <cell r="DR65">
            <v>3.4000000000000004</v>
          </cell>
          <cell r="DS65">
            <v>9.5</v>
          </cell>
          <cell r="DT65">
            <v>17.399999999999999</v>
          </cell>
          <cell r="DU65">
            <v>0</v>
          </cell>
          <cell r="DV65">
            <v>0</v>
          </cell>
          <cell r="DW65">
            <v>0</v>
          </cell>
          <cell r="DX65">
            <v>0</v>
          </cell>
          <cell r="DY65" t="str">
            <v>nd</v>
          </cell>
          <cell r="DZ65">
            <v>2.4169099999999997</v>
          </cell>
          <cell r="EA65">
            <v>4.0789400000000002</v>
          </cell>
          <cell r="EB65" t="str">
            <v>nd</v>
          </cell>
          <cell r="EC65" t="str">
            <v>nd</v>
          </cell>
          <cell r="ED65" t="str">
            <v>nd</v>
          </cell>
          <cell r="EE65">
            <v>0</v>
          </cell>
          <cell r="EF65">
            <v>27.3212534</v>
          </cell>
          <cell r="EG65">
            <v>5.3865400000000001</v>
          </cell>
          <cell r="EH65">
            <v>0</v>
          </cell>
          <cell r="EI65">
            <v>2.3933</v>
          </cell>
          <cell r="EJ65" t="str">
            <v>nd</v>
          </cell>
          <cell r="EK65" t="str">
            <v>nd</v>
          </cell>
          <cell r="EL65">
            <v>33.745881199999999</v>
          </cell>
          <cell r="EM65">
            <v>0</v>
          </cell>
          <cell r="EN65">
            <v>0</v>
          </cell>
          <cell r="EO65">
            <v>0</v>
          </cell>
          <cell r="EP65">
            <v>0</v>
          </cell>
          <cell r="EQ65">
            <v>4.7744599999999995</v>
          </cell>
          <cell r="ER65">
            <v>10.8111128</v>
          </cell>
          <cell r="ES65">
            <v>0</v>
          </cell>
          <cell r="ET65">
            <v>0</v>
          </cell>
          <cell r="EU65" t="str">
            <v>nd</v>
          </cell>
          <cell r="EV65">
            <v>0</v>
          </cell>
          <cell r="EW65" t="str">
            <v>nd</v>
          </cell>
          <cell r="EX65">
            <v>0</v>
          </cell>
          <cell r="EY65">
            <v>0</v>
          </cell>
          <cell r="EZ65">
            <v>0</v>
          </cell>
          <cell r="FA65">
            <v>0</v>
          </cell>
          <cell r="FB65" t="str">
            <v>nd</v>
          </cell>
          <cell r="FC65" t="str">
            <v>nd</v>
          </cell>
          <cell r="FD65">
            <v>0</v>
          </cell>
          <cell r="FE65">
            <v>0</v>
          </cell>
          <cell r="FF65">
            <v>0</v>
          </cell>
          <cell r="FG65">
            <v>2.3511500000000001</v>
          </cell>
          <cell r="FH65">
            <v>4.2838099999999999</v>
          </cell>
          <cell r="FI65" t="str">
            <v>nd</v>
          </cell>
          <cell r="FJ65">
            <v>0</v>
          </cell>
          <cell r="FK65">
            <v>0</v>
          </cell>
          <cell r="FL65">
            <v>0</v>
          </cell>
          <cell r="FM65">
            <v>7.0506854999999993</v>
          </cell>
          <cell r="FN65">
            <v>30.427893399999999</v>
          </cell>
          <cell r="FO65">
            <v>0</v>
          </cell>
          <cell r="FP65">
            <v>0</v>
          </cell>
          <cell r="FQ65">
            <v>0</v>
          </cell>
          <cell r="FR65">
            <v>0</v>
          </cell>
          <cell r="FS65">
            <v>5.1932299999999998</v>
          </cell>
          <cell r="FT65">
            <v>35.568575500000001</v>
          </cell>
          <cell r="FU65">
            <v>0</v>
          </cell>
          <cell r="FV65" t="str">
            <v>nd</v>
          </cell>
          <cell r="FW65">
            <v>0</v>
          </cell>
          <cell r="FX65">
            <v>0</v>
          </cell>
          <cell r="FY65">
            <v>0</v>
          </cell>
          <cell r="FZ65">
            <v>12.2441557</v>
          </cell>
          <cell r="GA65" t="str">
            <v>nd</v>
          </cell>
          <cell r="GB65">
            <v>0</v>
          </cell>
          <cell r="GC65">
            <v>0</v>
          </cell>
          <cell r="GD65">
            <v>0</v>
          </cell>
          <cell r="GE65">
            <v>0</v>
          </cell>
          <cell r="GF65">
            <v>0</v>
          </cell>
          <cell r="GG65" t="str">
            <v>nd</v>
          </cell>
          <cell r="GH65" t="str">
            <v>nd</v>
          </cell>
          <cell r="GI65" t="str">
            <v>nd</v>
          </cell>
          <cell r="GJ65">
            <v>4.7054299999999998</v>
          </cell>
          <cell r="GK65" t="str">
            <v>nd</v>
          </cell>
          <cell r="GL65">
            <v>0</v>
          </cell>
          <cell r="GM65">
            <v>0</v>
          </cell>
          <cell r="GN65" t="str">
            <v>nd</v>
          </cell>
          <cell r="GO65">
            <v>3.5778200000000004</v>
          </cell>
          <cell r="GP65">
            <v>7.1934489000000008</v>
          </cell>
          <cell r="GQ65">
            <v>26.036438799999999</v>
          </cell>
          <cell r="GR65">
            <v>0</v>
          </cell>
          <cell r="GS65">
            <v>0</v>
          </cell>
          <cell r="GT65">
            <v>0</v>
          </cell>
          <cell r="GU65" t="str">
            <v>nd</v>
          </cell>
          <cell r="GV65">
            <v>4.6304400000000001</v>
          </cell>
          <cell r="GW65">
            <v>34.6861429</v>
          </cell>
          <cell r="GX65">
            <v>0</v>
          </cell>
          <cell r="GY65">
            <v>0</v>
          </cell>
          <cell r="GZ65">
            <v>0</v>
          </cell>
          <cell r="HA65">
            <v>0</v>
          </cell>
          <cell r="HB65">
            <v>5.52088</v>
          </cell>
          <cell r="HC65">
            <v>7.5523689000000003</v>
          </cell>
          <cell r="HD65">
            <v>0</v>
          </cell>
          <cell r="HE65" t="str">
            <v>nd</v>
          </cell>
          <cell r="HF65">
            <v>0</v>
          </cell>
          <cell r="HG65">
            <v>0</v>
          </cell>
          <cell r="HH65">
            <v>0</v>
          </cell>
          <cell r="HI65">
            <v>0</v>
          </cell>
          <cell r="HJ65">
            <v>0</v>
          </cell>
          <cell r="HK65">
            <v>0</v>
          </cell>
          <cell r="HL65" t="str">
            <v>nd</v>
          </cell>
          <cell r="HM65">
            <v>4.2456899999999997</v>
          </cell>
          <cell r="HN65">
            <v>4.1922600000000001</v>
          </cell>
          <cell r="HO65">
            <v>0</v>
          </cell>
          <cell r="HP65">
            <v>0</v>
          </cell>
          <cell r="HQ65">
            <v>0</v>
          </cell>
          <cell r="HR65" t="str">
            <v>nd</v>
          </cell>
          <cell r="HS65">
            <v>25.2138089</v>
          </cell>
          <cell r="HT65">
            <v>12.9130556</v>
          </cell>
          <cell r="HU65">
            <v>0</v>
          </cell>
          <cell r="HV65">
            <v>0</v>
          </cell>
          <cell r="HW65">
            <v>0</v>
          </cell>
          <cell r="HX65" t="str">
            <v>nd</v>
          </cell>
          <cell r="HY65">
            <v>22.351703199999999</v>
          </cell>
          <cell r="HZ65">
            <v>15.7031381</v>
          </cell>
          <cell r="IA65">
            <v>0</v>
          </cell>
          <cell r="IB65">
            <v>0</v>
          </cell>
          <cell r="IC65">
            <v>0</v>
          </cell>
          <cell r="ID65">
            <v>0</v>
          </cell>
          <cell r="IE65">
            <v>10.874327899999999</v>
          </cell>
          <cell r="IF65" t="str">
            <v>nd</v>
          </cell>
          <cell r="IG65">
            <v>0</v>
          </cell>
          <cell r="IH65" t="str">
            <v>nd</v>
          </cell>
          <cell r="II65">
            <v>0</v>
          </cell>
          <cell r="IJ65">
            <v>0</v>
          </cell>
          <cell r="IK65">
            <v>0</v>
          </cell>
          <cell r="IL65" t="str">
            <v>nd</v>
          </cell>
          <cell r="IM65">
            <v>0</v>
          </cell>
          <cell r="IN65">
            <v>0</v>
          </cell>
          <cell r="IO65" t="str">
            <v>nd</v>
          </cell>
          <cell r="IP65">
            <v>1.8147599999999999</v>
          </cell>
          <cell r="IQ65">
            <v>4.8312400000000002</v>
          </cell>
          <cell r="IR65">
            <v>0</v>
          </cell>
          <cell r="IS65" t="str">
            <v>nd</v>
          </cell>
          <cell r="IT65">
            <v>0</v>
          </cell>
          <cell r="IU65" t="str">
            <v>nd</v>
          </cell>
          <cell r="IV65">
            <v>23.233648000000002</v>
          </cell>
          <cell r="IW65">
            <v>12.565669099999999</v>
          </cell>
          <cell r="IX65">
            <v>0</v>
          </cell>
          <cell r="IY65">
            <v>0</v>
          </cell>
          <cell r="IZ65">
            <v>0</v>
          </cell>
          <cell r="JA65">
            <v>2.0189599999999999</v>
          </cell>
          <cell r="JB65">
            <v>22.4818386</v>
          </cell>
          <cell r="JC65">
            <v>16.470010299999998</v>
          </cell>
          <cell r="JD65">
            <v>0</v>
          </cell>
          <cell r="JE65">
            <v>0</v>
          </cell>
          <cell r="JF65">
            <v>0</v>
          </cell>
          <cell r="JG65">
            <v>0</v>
          </cell>
          <cell r="JH65">
            <v>6.01851</v>
          </cell>
          <cell r="JI65">
            <v>7.2039406000000001</v>
          </cell>
          <cell r="JJ65">
            <v>0</v>
          </cell>
          <cell r="JK65">
            <v>0</v>
          </cell>
          <cell r="JL65">
            <v>0</v>
          </cell>
          <cell r="JM65">
            <v>0</v>
          </cell>
          <cell r="JN65" t="str">
            <v>nd</v>
          </cell>
          <cell r="JO65">
            <v>0</v>
          </cell>
          <cell r="JP65">
            <v>0</v>
          </cell>
          <cell r="JQ65">
            <v>0</v>
          </cell>
          <cell r="JR65">
            <v>0</v>
          </cell>
          <cell r="JS65" t="str">
            <v>nd</v>
          </cell>
          <cell r="JT65">
            <v>6.1523599999999998</v>
          </cell>
          <cell r="JU65">
            <v>0</v>
          </cell>
          <cell r="JV65">
            <v>0</v>
          </cell>
          <cell r="JW65">
            <v>0</v>
          </cell>
          <cell r="JX65">
            <v>0</v>
          </cell>
          <cell r="JY65" t="str">
            <v>nd</v>
          </cell>
          <cell r="JZ65">
            <v>36.836212699999997</v>
          </cell>
          <cell r="KA65">
            <v>0</v>
          </cell>
          <cell r="KB65">
            <v>0</v>
          </cell>
          <cell r="KC65">
            <v>0</v>
          </cell>
          <cell r="KD65">
            <v>0</v>
          </cell>
          <cell r="KE65">
            <v>0</v>
          </cell>
          <cell r="KF65">
            <v>41.316736599999999</v>
          </cell>
          <cell r="KG65">
            <v>0</v>
          </cell>
          <cell r="KH65">
            <v>0</v>
          </cell>
          <cell r="KI65">
            <v>0</v>
          </cell>
          <cell r="KJ65">
            <v>0</v>
          </cell>
          <cell r="KK65">
            <v>0</v>
          </cell>
          <cell r="KL65">
            <v>13.2269155</v>
          </cell>
          <cell r="KM65">
            <v>78.8</v>
          </cell>
          <cell r="KN65">
            <v>2.6</v>
          </cell>
          <cell r="KO65">
            <v>5.2</v>
          </cell>
          <cell r="KP65">
            <v>5.0999999999999996</v>
          </cell>
          <cell r="KQ65">
            <v>8.2000000000000011</v>
          </cell>
          <cell r="KR65">
            <v>0.1</v>
          </cell>
          <cell r="KS65">
            <v>78.8</v>
          </cell>
          <cell r="KT65">
            <v>2.5</v>
          </cell>
          <cell r="KU65">
            <v>5.2</v>
          </cell>
          <cell r="KV65">
            <v>5.2</v>
          </cell>
          <cell r="KW65">
            <v>8.3000000000000007</v>
          </cell>
          <cell r="KX65">
            <v>0.1</v>
          </cell>
          <cell r="KY65"/>
          <cell r="KZ65"/>
          <cell r="LA65"/>
          <cell r="LB65"/>
          <cell r="LC65"/>
          <cell r="LD65"/>
          <cell r="LE65"/>
          <cell r="LF65"/>
          <cell r="LG65"/>
          <cell r="LH65"/>
          <cell r="LI65"/>
          <cell r="LJ65"/>
          <cell r="LK65"/>
          <cell r="LL65"/>
          <cell r="LM65"/>
          <cell r="LN65"/>
          <cell r="LO65"/>
        </row>
        <row r="66">
          <cell r="A66" t="str">
            <v>3HZ</v>
          </cell>
          <cell r="B66" t="str">
            <v>66</v>
          </cell>
          <cell r="C66" t="str">
            <v>NAF 17</v>
          </cell>
          <cell r="D66" t="str">
            <v>HZ</v>
          </cell>
          <cell r="E66" t="str">
            <v>3</v>
          </cell>
          <cell r="F66">
            <v>2.2999999999999998</v>
          </cell>
          <cell r="G66">
            <v>17.7</v>
          </cell>
          <cell r="H66">
            <v>31.2</v>
          </cell>
          <cell r="I66">
            <v>38.700000000000003</v>
          </cell>
          <cell r="J66">
            <v>10</v>
          </cell>
          <cell r="K66">
            <v>61.199999999999996</v>
          </cell>
          <cell r="L66">
            <v>24.6</v>
          </cell>
          <cell r="M66">
            <v>14.2</v>
          </cell>
          <cell r="N66">
            <v>0</v>
          </cell>
          <cell r="O66">
            <v>36.1</v>
          </cell>
          <cell r="P66">
            <v>24.9</v>
          </cell>
          <cell r="Q66">
            <v>2.6</v>
          </cell>
          <cell r="R66">
            <v>7.1</v>
          </cell>
          <cell r="S66">
            <v>12.5</v>
          </cell>
          <cell r="T66">
            <v>30.9</v>
          </cell>
          <cell r="U66">
            <v>11.1</v>
          </cell>
          <cell r="V66">
            <v>19.8</v>
          </cell>
          <cell r="W66">
            <v>14.2</v>
          </cell>
          <cell r="X66">
            <v>79</v>
          </cell>
          <cell r="Y66">
            <v>6.7</v>
          </cell>
          <cell r="Z66" t="str">
            <v>nd</v>
          </cell>
          <cell r="AA66">
            <v>28.299999999999997</v>
          </cell>
          <cell r="AB66" t="str">
            <v>nd</v>
          </cell>
          <cell r="AC66">
            <v>45</v>
          </cell>
          <cell r="AD66">
            <v>49.2</v>
          </cell>
          <cell r="AE66">
            <v>55.600000000000009</v>
          </cell>
          <cell r="AF66">
            <v>44.4</v>
          </cell>
          <cell r="AG66">
            <v>57.9</v>
          </cell>
          <cell r="AH66">
            <v>42.1</v>
          </cell>
          <cell r="AI66">
            <v>55.300000000000004</v>
          </cell>
          <cell r="AJ66">
            <v>14.899999999999999</v>
          </cell>
          <cell r="AK66">
            <v>0</v>
          </cell>
          <cell r="AL66">
            <v>28.999999999999996</v>
          </cell>
          <cell r="AM66" t="str">
            <v>nd</v>
          </cell>
          <cell r="AN66">
            <v>6.5</v>
          </cell>
          <cell r="AO66" t="str">
            <v>nd</v>
          </cell>
          <cell r="AP66" t="str">
            <v>nd</v>
          </cell>
          <cell r="AQ66">
            <v>80.5</v>
          </cell>
          <cell r="AR66">
            <v>8.3000000000000007</v>
          </cell>
          <cell r="AS66">
            <v>69.099999999999994</v>
          </cell>
          <cell r="AT66">
            <v>11.5</v>
          </cell>
          <cell r="AU66">
            <v>4.3</v>
          </cell>
          <cell r="AV66">
            <v>3.9</v>
          </cell>
          <cell r="AW66">
            <v>7.0000000000000009</v>
          </cell>
          <cell r="AX66">
            <v>4.1000000000000005</v>
          </cell>
          <cell r="AY66">
            <v>3.2</v>
          </cell>
          <cell r="AZ66">
            <v>0</v>
          </cell>
          <cell r="BA66" t="str">
            <v>nd</v>
          </cell>
          <cell r="BB66">
            <v>3.3000000000000003</v>
          </cell>
          <cell r="BC66">
            <v>33.200000000000003</v>
          </cell>
          <cell r="BD66">
            <v>59.199999999999996</v>
          </cell>
          <cell r="BE66" t="str">
            <v>nd</v>
          </cell>
          <cell r="BF66">
            <v>5.5</v>
          </cell>
          <cell r="BG66">
            <v>3</v>
          </cell>
          <cell r="BH66">
            <v>4.5</v>
          </cell>
          <cell r="BI66">
            <v>27.900000000000002</v>
          </cell>
          <cell r="BJ66">
            <v>57.999999999999993</v>
          </cell>
          <cell r="BK66">
            <v>0</v>
          </cell>
          <cell r="BL66">
            <v>0</v>
          </cell>
          <cell r="BM66">
            <v>0</v>
          </cell>
          <cell r="BN66">
            <v>6</v>
          </cell>
          <cell r="BO66">
            <v>76.8</v>
          </cell>
          <cell r="BP66">
            <v>17.100000000000001</v>
          </cell>
          <cell r="BQ66">
            <v>0</v>
          </cell>
          <cell r="BR66">
            <v>0</v>
          </cell>
          <cell r="BS66">
            <v>0</v>
          </cell>
          <cell r="BT66">
            <v>8.6999999999999993</v>
          </cell>
          <cell r="BU66">
            <v>75.900000000000006</v>
          </cell>
          <cell r="BV66">
            <v>15.4</v>
          </cell>
          <cell r="BW66">
            <v>0</v>
          </cell>
          <cell r="BX66">
            <v>0</v>
          </cell>
          <cell r="BY66">
            <v>0</v>
          </cell>
          <cell r="BZ66">
            <v>0</v>
          </cell>
          <cell r="CA66">
            <v>2.8000000000000003</v>
          </cell>
          <cell r="CB66">
            <v>97.2</v>
          </cell>
          <cell r="CC66">
            <v>19</v>
          </cell>
          <cell r="CD66">
            <v>10.199999999999999</v>
          </cell>
          <cell r="CE66" t="str">
            <v>nd</v>
          </cell>
          <cell r="CF66" t="str">
            <v>nd</v>
          </cell>
          <cell r="CG66" t="str">
            <v>nd</v>
          </cell>
          <cell r="CH66">
            <v>20</v>
          </cell>
          <cell r="CI66">
            <v>12.3</v>
          </cell>
          <cell r="CJ66">
            <v>58.599999999999994</v>
          </cell>
          <cell r="CK66">
            <v>43.7</v>
          </cell>
          <cell r="CL66">
            <v>4</v>
          </cell>
          <cell r="CM66">
            <v>4.8</v>
          </cell>
          <cell r="CN66">
            <v>2.7</v>
          </cell>
          <cell r="CO66">
            <v>53.7</v>
          </cell>
          <cell r="CP66">
            <v>17</v>
          </cell>
          <cell r="CQ66">
            <v>27.900000000000002</v>
          </cell>
          <cell r="CR66">
            <v>10</v>
          </cell>
          <cell r="CS66">
            <v>45</v>
          </cell>
          <cell r="CT66">
            <v>22.400000000000002</v>
          </cell>
          <cell r="CU66">
            <v>77.600000000000009</v>
          </cell>
          <cell r="CV66">
            <v>18.3</v>
          </cell>
          <cell r="CW66">
            <v>81.699999999999989</v>
          </cell>
          <cell r="CX66">
            <v>17.7</v>
          </cell>
          <cell r="CY66">
            <v>28.7</v>
          </cell>
          <cell r="CZ66">
            <v>53.6</v>
          </cell>
          <cell r="DA66">
            <v>25.5</v>
          </cell>
          <cell r="DB66">
            <v>0</v>
          </cell>
          <cell r="DC66" t="str">
            <v>nd</v>
          </cell>
          <cell r="DD66" t="str">
            <v>nd</v>
          </cell>
          <cell r="DE66">
            <v>63.7</v>
          </cell>
          <cell r="DF66">
            <v>13.4</v>
          </cell>
          <cell r="DG66">
            <v>10</v>
          </cell>
          <cell r="DH66">
            <v>16.900000000000002</v>
          </cell>
          <cell r="DI66">
            <v>11</v>
          </cell>
          <cell r="DJ66">
            <v>20.599999999999998</v>
          </cell>
          <cell r="DK66">
            <v>28.199999999999996</v>
          </cell>
          <cell r="DL66">
            <v>18.600000000000001</v>
          </cell>
          <cell r="DM66">
            <v>48</v>
          </cell>
          <cell r="DN66">
            <v>4.3</v>
          </cell>
          <cell r="DO66">
            <v>19.400000000000002</v>
          </cell>
          <cell r="DP66">
            <v>8.9</v>
          </cell>
          <cell r="DQ66">
            <v>6.7</v>
          </cell>
          <cell r="DR66" t="str">
            <v>nd</v>
          </cell>
          <cell r="DS66">
            <v>16.7</v>
          </cell>
          <cell r="DT66">
            <v>23.599999999999998</v>
          </cell>
          <cell r="DU66">
            <v>0</v>
          </cell>
          <cell r="DV66" t="str">
            <v>nd</v>
          </cell>
          <cell r="DW66">
            <v>0</v>
          </cell>
          <cell r="DX66" t="str">
            <v>nd</v>
          </cell>
          <cell r="DY66">
            <v>0</v>
          </cell>
          <cell r="DZ66">
            <v>4.66784</v>
          </cell>
          <cell r="EA66">
            <v>3.7178500000000003</v>
          </cell>
          <cell r="EB66">
            <v>2.8348900000000001</v>
          </cell>
          <cell r="EC66">
            <v>1.6511100000000001</v>
          </cell>
          <cell r="ED66">
            <v>3.68987</v>
          </cell>
          <cell r="EE66" t="str">
            <v>nd</v>
          </cell>
          <cell r="EF66">
            <v>20.265574099999998</v>
          </cell>
          <cell r="EG66">
            <v>5.3597299999999999</v>
          </cell>
          <cell r="EH66" t="str">
            <v>nd</v>
          </cell>
          <cell r="EI66" t="str">
            <v>nd</v>
          </cell>
          <cell r="EJ66" t="str">
            <v>nd</v>
          </cell>
          <cell r="EK66" t="str">
            <v>nd</v>
          </cell>
          <cell r="EL66">
            <v>35.589137999999998</v>
          </cell>
          <cell r="EM66" t="str">
            <v>nd</v>
          </cell>
          <cell r="EN66" t="str">
            <v>nd</v>
          </cell>
          <cell r="EO66">
            <v>0</v>
          </cell>
          <cell r="EP66">
            <v>0</v>
          </cell>
          <cell r="EQ66" t="str">
            <v>nd</v>
          </cell>
          <cell r="ER66">
            <v>8.5413415000000015</v>
          </cell>
          <cell r="ES66" t="str">
            <v>nd</v>
          </cell>
          <cell r="ET66">
            <v>0</v>
          </cell>
          <cell r="EU66">
            <v>0</v>
          </cell>
          <cell r="EV66">
            <v>0</v>
          </cell>
          <cell r="EW66">
            <v>0</v>
          </cell>
          <cell r="EX66">
            <v>0</v>
          </cell>
          <cell r="EY66" t="str">
            <v>nd</v>
          </cell>
          <cell r="EZ66">
            <v>0</v>
          </cell>
          <cell r="FA66">
            <v>0</v>
          </cell>
          <cell r="FB66" t="str">
            <v>nd</v>
          </cell>
          <cell r="FC66" t="str">
            <v>nd</v>
          </cell>
          <cell r="FD66">
            <v>0</v>
          </cell>
          <cell r="FE66">
            <v>0</v>
          </cell>
          <cell r="FF66" t="str">
            <v>nd</v>
          </cell>
          <cell r="FG66">
            <v>5.2707499999999996</v>
          </cell>
          <cell r="FH66">
            <v>10.966985899999999</v>
          </cell>
          <cell r="FI66" t="str">
            <v>nd</v>
          </cell>
          <cell r="FJ66">
            <v>0</v>
          </cell>
          <cell r="FK66">
            <v>0</v>
          </cell>
          <cell r="FL66" t="str">
            <v>nd</v>
          </cell>
          <cell r="FM66">
            <v>14.302575900000001</v>
          </cell>
          <cell r="FN66">
            <v>15.6785747</v>
          </cell>
          <cell r="FO66">
            <v>0</v>
          </cell>
          <cell r="FP66">
            <v>0</v>
          </cell>
          <cell r="FQ66" t="str">
            <v>nd</v>
          </cell>
          <cell r="FR66">
            <v>2.4774000000000003</v>
          </cell>
          <cell r="FS66">
            <v>9.7725114000000008</v>
          </cell>
          <cell r="FT66">
            <v>24.059719099999999</v>
          </cell>
          <cell r="FU66">
            <v>0</v>
          </cell>
          <cell r="FV66">
            <v>0</v>
          </cell>
          <cell r="FW66">
            <v>0</v>
          </cell>
          <cell r="FX66">
            <v>0</v>
          </cell>
          <cell r="FY66">
            <v>2.8549799999999999</v>
          </cell>
          <cell r="FZ66">
            <v>7.2209771000000007</v>
          </cell>
          <cell r="GA66" t="str">
            <v>nd</v>
          </cell>
          <cell r="GB66">
            <v>0</v>
          </cell>
          <cell r="GC66">
            <v>0</v>
          </cell>
          <cell r="GD66">
            <v>0</v>
          </cell>
          <cell r="GE66">
            <v>0</v>
          </cell>
          <cell r="GF66">
            <v>0</v>
          </cell>
          <cell r="GG66">
            <v>4.2487599999999999</v>
          </cell>
          <cell r="GH66">
            <v>3.0280800000000001</v>
          </cell>
          <cell r="GI66">
            <v>1.7135999999999998</v>
          </cell>
          <cell r="GJ66">
            <v>4.05931</v>
          </cell>
          <cell r="GK66">
            <v>5.4503900000000005</v>
          </cell>
          <cell r="GL66">
            <v>0</v>
          </cell>
          <cell r="GM66">
            <v>0</v>
          </cell>
          <cell r="GN66">
            <v>0</v>
          </cell>
          <cell r="GO66">
            <v>2.8223700000000003</v>
          </cell>
          <cell r="GP66">
            <v>12.237613</v>
          </cell>
          <cell r="GQ66">
            <v>16.764460499999998</v>
          </cell>
          <cell r="GR66">
            <v>0</v>
          </cell>
          <cell r="GS66">
            <v>0</v>
          </cell>
          <cell r="GT66">
            <v>0</v>
          </cell>
          <cell r="GU66">
            <v>0</v>
          </cell>
          <cell r="GV66">
            <v>10.1732029</v>
          </cell>
          <cell r="GW66">
            <v>27.108935099999997</v>
          </cell>
          <cell r="GX66">
            <v>0</v>
          </cell>
          <cell r="GY66">
            <v>0</v>
          </cell>
          <cell r="GZ66">
            <v>0</v>
          </cell>
          <cell r="HA66">
            <v>0</v>
          </cell>
          <cell r="HB66" t="str">
            <v>nd</v>
          </cell>
          <cell r="HC66">
            <v>8.6171296999999996</v>
          </cell>
          <cell r="HD66">
            <v>0</v>
          </cell>
          <cell r="HE66" t="str">
            <v>nd</v>
          </cell>
          <cell r="HF66">
            <v>0</v>
          </cell>
          <cell r="HG66" t="str">
            <v>nd</v>
          </cell>
          <cell r="HH66">
            <v>0</v>
          </cell>
          <cell r="HI66">
            <v>0</v>
          </cell>
          <cell r="HJ66">
            <v>0</v>
          </cell>
          <cell r="HK66">
            <v>0</v>
          </cell>
          <cell r="HL66" t="str">
            <v>nd</v>
          </cell>
          <cell r="HM66">
            <v>11.7395031</v>
          </cell>
          <cell r="HN66">
            <v>5.25502</v>
          </cell>
          <cell r="HO66">
            <v>0</v>
          </cell>
          <cell r="HP66">
            <v>0</v>
          </cell>
          <cell r="HQ66">
            <v>0</v>
          </cell>
          <cell r="HR66" t="str">
            <v>nd</v>
          </cell>
          <cell r="HS66">
            <v>28.829131699999998</v>
          </cell>
          <cell r="HT66">
            <v>2.4014199999999999</v>
          </cell>
          <cell r="HU66">
            <v>0</v>
          </cell>
          <cell r="HV66">
            <v>0</v>
          </cell>
          <cell r="HW66">
            <v>0</v>
          </cell>
          <cell r="HX66">
            <v>2.6439500000000002</v>
          </cell>
          <cell r="HY66">
            <v>27.994876099999999</v>
          </cell>
          <cell r="HZ66">
            <v>6.6324968999999996</v>
          </cell>
          <cell r="IA66">
            <v>0</v>
          </cell>
          <cell r="IB66">
            <v>0</v>
          </cell>
          <cell r="IC66">
            <v>0</v>
          </cell>
          <cell r="ID66" t="str">
            <v>nd</v>
          </cell>
          <cell r="IE66">
            <v>6.6509373999999992</v>
          </cell>
          <cell r="IF66" t="str">
            <v>nd</v>
          </cell>
          <cell r="IG66">
            <v>0</v>
          </cell>
          <cell r="IH66" t="str">
            <v>nd</v>
          </cell>
          <cell r="II66">
            <v>0</v>
          </cell>
          <cell r="IJ66" t="str">
            <v>nd</v>
          </cell>
          <cell r="IK66">
            <v>0</v>
          </cell>
          <cell r="IL66">
            <v>0</v>
          </cell>
          <cell r="IM66">
            <v>0</v>
          </cell>
          <cell r="IN66">
            <v>0</v>
          </cell>
          <cell r="IO66" t="str">
            <v>nd</v>
          </cell>
          <cell r="IP66">
            <v>12.1803834</v>
          </cell>
          <cell r="IQ66">
            <v>5.4498699999999998</v>
          </cell>
          <cell r="IR66">
            <v>0</v>
          </cell>
          <cell r="IS66">
            <v>0</v>
          </cell>
          <cell r="IT66">
            <v>0</v>
          </cell>
          <cell r="IU66">
            <v>4.8287700000000005</v>
          </cell>
          <cell r="IV66">
            <v>25.991455400000003</v>
          </cell>
          <cell r="IW66">
            <v>1.6535600000000001</v>
          </cell>
          <cell r="IX66">
            <v>0</v>
          </cell>
          <cell r="IY66">
            <v>0</v>
          </cell>
          <cell r="IZ66">
            <v>0</v>
          </cell>
          <cell r="JA66" t="str">
            <v>nd</v>
          </cell>
          <cell r="JB66">
            <v>30.3690015</v>
          </cell>
          <cell r="JC66">
            <v>6.5066638999999995</v>
          </cell>
          <cell r="JD66">
            <v>0</v>
          </cell>
          <cell r="JE66">
            <v>0</v>
          </cell>
          <cell r="JF66">
            <v>0</v>
          </cell>
          <cell r="JG66" t="str">
            <v>nd</v>
          </cell>
          <cell r="JH66">
            <v>5.7199800000000005</v>
          </cell>
          <cell r="JI66" t="str">
            <v>nd</v>
          </cell>
          <cell r="JJ66">
            <v>0</v>
          </cell>
          <cell r="JK66" t="str">
            <v>nd</v>
          </cell>
          <cell r="JL66">
            <v>0</v>
          </cell>
          <cell r="JM66">
            <v>0</v>
          </cell>
          <cell r="JN66" t="str">
            <v>nd</v>
          </cell>
          <cell r="JO66">
            <v>0</v>
          </cell>
          <cell r="JP66">
            <v>0</v>
          </cell>
          <cell r="JQ66">
            <v>0</v>
          </cell>
          <cell r="JR66">
            <v>0</v>
          </cell>
          <cell r="JS66" t="str">
            <v>nd</v>
          </cell>
          <cell r="JT66">
            <v>17.949611400000002</v>
          </cell>
          <cell r="JU66">
            <v>0</v>
          </cell>
          <cell r="JV66">
            <v>0</v>
          </cell>
          <cell r="JW66">
            <v>0</v>
          </cell>
          <cell r="JX66">
            <v>0</v>
          </cell>
          <cell r="JY66">
            <v>0</v>
          </cell>
          <cell r="JZ66">
            <v>32.197040900000005</v>
          </cell>
          <cell r="KA66">
            <v>0</v>
          </cell>
          <cell r="KB66">
            <v>0</v>
          </cell>
          <cell r="KC66">
            <v>0</v>
          </cell>
          <cell r="KD66">
            <v>0</v>
          </cell>
          <cell r="KE66" t="str">
            <v>nd</v>
          </cell>
          <cell r="KF66">
            <v>36.145500400000003</v>
          </cell>
          <cell r="KG66">
            <v>0</v>
          </cell>
          <cell r="KH66">
            <v>0</v>
          </cell>
          <cell r="KI66">
            <v>0</v>
          </cell>
          <cell r="KJ66">
            <v>0</v>
          </cell>
          <cell r="KK66">
            <v>0</v>
          </cell>
          <cell r="KL66">
            <v>9.3280787000000007</v>
          </cell>
          <cell r="KM66">
            <v>72.399999999999991</v>
          </cell>
          <cell r="KN66">
            <v>5.5</v>
          </cell>
          <cell r="KO66">
            <v>9.4</v>
          </cell>
          <cell r="KP66">
            <v>5.8999999999999995</v>
          </cell>
          <cell r="KQ66">
            <v>6.4</v>
          </cell>
          <cell r="KR66">
            <v>0.3</v>
          </cell>
          <cell r="KS66">
            <v>71.599999999999994</v>
          </cell>
          <cell r="KT66">
            <v>5.5</v>
          </cell>
          <cell r="KU66">
            <v>9.4</v>
          </cell>
          <cell r="KV66">
            <v>6.3</v>
          </cell>
          <cell r="KW66">
            <v>6.9</v>
          </cell>
          <cell r="KX66">
            <v>0.2</v>
          </cell>
          <cell r="KY66"/>
          <cell r="KZ66"/>
          <cell r="LA66"/>
          <cell r="LB66"/>
          <cell r="LC66"/>
          <cell r="LD66"/>
          <cell r="LE66"/>
          <cell r="LF66"/>
          <cell r="LG66"/>
          <cell r="LH66"/>
          <cell r="LI66"/>
          <cell r="LJ66"/>
          <cell r="LK66"/>
          <cell r="LL66"/>
          <cell r="LM66"/>
          <cell r="LN66"/>
          <cell r="LO66"/>
        </row>
        <row r="67">
          <cell r="A67" t="str">
            <v>4HZ</v>
          </cell>
          <cell r="B67" t="str">
            <v>67</v>
          </cell>
          <cell r="C67" t="str">
            <v>NAF 17</v>
          </cell>
          <cell r="D67" t="str">
            <v>HZ</v>
          </cell>
          <cell r="E67" t="str">
            <v>4</v>
          </cell>
          <cell r="F67">
            <v>2.6</v>
          </cell>
          <cell r="G67">
            <v>12.3</v>
          </cell>
          <cell r="H67">
            <v>37.799999999999997</v>
          </cell>
          <cell r="I67">
            <v>37.799999999999997</v>
          </cell>
          <cell r="J67">
            <v>9.5</v>
          </cell>
          <cell r="K67">
            <v>65.3</v>
          </cell>
          <cell r="L67">
            <v>30.3</v>
          </cell>
          <cell r="M67">
            <v>4</v>
          </cell>
          <cell r="N67" t="str">
            <v>nd</v>
          </cell>
          <cell r="O67">
            <v>33.200000000000003</v>
          </cell>
          <cell r="P67">
            <v>25.900000000000002</v>
          </cell>
          <cell r="Q67">
            <v>12.4</v>
          </cell>
          <cell r="R67">
            <v>9</v>
          </cell>
          <cell r="S67">
            <v>14.6</v>
          </cell>
          <cell r="T67">
            <v>35.199999999999996</v>
          </cell>
          <cell r="U67">
            <v>11.4</v>
          </cell>
          <cell r="V67">
            <v>17.299999999999997</v>
          </cell>
          <cell r="W67">
            <v>18.8</v>
          </cell>
          <cell r="X67">
            <v>75.8</v>
          </cell>
          <cell r="Y67">
            <v>5.5</v>
          </cell>
          <cell r="Z67" t="str">
            <v>nd</v>
          </cell>
          <cell r="AA67">
            <v>60.8</v>
          </cell>
          <cell r="AB67">
            <v>16.100000000000001</v>
          </cell>
          <cell r="AC67">
            <v>52.2</v>
          </cell>
          <cell r="AD67">
            <v>17.2</v>
          </cell>
          <cell r="AE67">
            <v>73.599999999999994</v>
          </cell>
          <cell r="AF67">
            <v>26.400000000000002</v>
          </cell>
          <cell r="AG67">
            <v>67.7</v>
          </cell>
          <cell r="AH67">
            <v>32.300000000000004</v>
          </cell>
          <cell r="AI67">
            <v>48.3</v>
          </cell>
          <cell r="AJ67">
            <v>13.3</v>
          </cell>
          <cell r="AK67" t="str">
            <v>nd</v>
          </cell>
          <cell r="AL67">
            <v>36.6</v>
          </cell>
          <cell r="AM67" t="str">
            <v>nd</v>
          </cell>
          <cell r="AN67">
            <v>5.7</v>
          </cell>
          <cell r="AO67">
            <v>1.7999999999999998</v>
          </cell>
          <cell r="AP67">
            <v>2.2999999999999998</v>
          </cell>
          <cell r="AQ67">
            <v>78.600000000000009</v>
          </cell>
          <cell r="AR67">
            <v>11.600000000000001</v>
          </cell>
          <cell r="AS67">
            <v>68.5</v>
          </cell>
          <cell r="AT67">
            <v>15.7</v>
          </cell>
          <cell r="AU67">
            <v>4.1000000000000005</v>
          </cell>
          <cell r="AV67">
            <v>3</v>
          </cell>
          <cell r="AW67">
            <v>4.1000000000000005</v>
          </cell>
          <cell r="AX67">
            <v>4.5</v>
          </cell>
          <cell r="AY67" t="str">
            <v>nd</v>
          </cell>
          <cell r="AZ67" t="str">
            <v>nd</v>
          </cell>
          <cell r="BA67">
            <v>1.5</v>
          </cell>
          <cell r="BB67">
            <v>5.0999999999999996</v>
          </cell>
          <cell r="BC67">
            <v>38.5</v>
          </cell>
          <cell r="BD67">
            <v>53.400000000000006</v>
          </cell>
          <cell r="BE67">
            <v>3.3000000000000003</v>
          </cell>
          <cell r="BF67">
            <v>1.0999999999999999</v>
          </cell>
          <cell r="BG67">
            <v>1.5</v>
          </cell>
          <cell r="BH67">
            <v>9.3000000000000007</v>
          </cell>
          <cell r="BI67">
            <v>41.8</v>
          </cell>
          <cell r="BJ67">
            <v>43</v>
          </cell>
          <cell r="BK67">
            <v>0</v>
          </cell>
          <cell r="BL67">
            <v>0</v>
          </cell>
          <cell r="BM67">
            <v>0</v>
          </cell>
          <cell r="BN67">
            <v>8.3000000000000007</v>
          </cell>
          <cell r="BO67">
            <v>75.599999999999994</v>
          </cell>
          <cell r="BP67">
            <v>16.100000000000001</v>
          </cell>
          <cell r="BQ67">
            <v>0</v>
          </cell>
          <cell r="BR67">
            <v>0</v>
          </cell>
          <cell r="BS67" t="str">
            <v>nd</v>
          </cell>
          <cell r="BT67">
            <v>13.5</v>
          </cell>
          <cell r="BU67">
            <v>68.899999999999991</v>
          </cell>
          <cell r="BV67">
            <v>17.299999999999997</v>
          </cell>
          <cell r="BW67">
            <v>0</v>
          </cell>
          <cell r="BX67">
            <v>0</v>
          </cell>
          <cell r="BY67">
            <v>0</v>
          </cell>
          <cell r="BZ67">
            <v>0</v>
          </cell>
          <cell r="CA67">
            <v>2.1</v>
          </cell>
          <cell r="CB67">
            <v>97.899999999999991</v>
          </cell>
          <cell r="CC67">
            <v>20.100000000000001</v>
          </cell>
          <cell r="CD67">
            <v>12.2</v>
          </cell>
          <cell r="CE67" t="str">
            <v>nd</v>
          </cell>
          <cell r="CF67" t="str">
            <v>nd</v>
          </cell>
          <cell r="CG67" t="str">
            <v>nd</v>
          </cell>
          <cell r="CH67">
            <v>23.1</v>
          </cell>
          <cell r="CI67">
            <v>10.6</v>
          </cell>
          <cell r="CJ67">
            <v>54.400000000000006</v>
          </cell>
          <cell r="CK67">
            <v>37.5</v>
          </cell>
          <cell r="CL67">
            <v>5.3</v>
          </cell>
          <cell r="CM67">
            <v>5</v>
          </cell>
          <cell r="CN67">
            <v>2.2999999999999998</v>
          </cell>
          <cell r="CO67">
            <v>59.9</v>
          </cell>
          <cell r="CP67">
            <v>16.900000000000002</v>
          </cell>
          <cell r="CQ67">
            <v>30.099999999999998</v>
          </cell>
          <cell r="CR67">
            <v>12.5</v>
          </cell>
          <cell r="CS67">
            <v>40.5</v>
          </cell>
          <cell r="CT67">
            <v>21.3</v>
          </cell>
          <cell r="CU67">
            <v>78.7</v>
          </cell>
          <cell r="CV67">
            <v>11.600000000000001</v>
          </cell>
          <cell r="CW67">
            <v>88.4</v>
          </cell>
          <cell r="CX67">
            <v>21.8</v>
          </cell>
          <cell r="CY67">
            <v>25.5</v>
          </cell>
          <cell r="CZ67">
            <v>52.7</v>
          </cell>
          <cell r="DA67">
            <v>32.300000000000004</v>
          </cell>
          <cell r="DB67">
            <v>8.9</v>
          </cell>
          <cell r="DC67">
            <v>7.8</v>
          </cell>
          <cell r="DD67" t="str">
            <v>nd</v>
          </cell>
          <cell r="DE67">
            <v>67.7</v>
          </cell>
          <cell r="DF67">
            <v>16.900000000000002</v>
          </cell>
          <cell r="DG67">
            <v>8.5</v>
          </cell>
          <cell r="DH67">
            <v>13.700000000000001</v>
          </cell>
          <cell r="DI67">
            <v>12.5</v>
          </cell>
          <cell r="DJ67">
            <v>25.7</v>
          </cell>
          <cell r="DK67">
            <v>22.7</v>
          </cell>
          <cell r="DL67">
            <v>23</v>
          </cell>
          <cell r="DM67">
            <v>44.7</v>
          </cell>
          <cell r="DN67">
            <v>6.5</v>
          </cell>
          <cell r="DO67">
            <v>21.8</v>
          </cell>
          <cell r="DP67">
            <v>6.8000000000000007</v>
          </cell>
          <cell r="DQ67">
            <v>2.1</v>
          </cell>
          <cell r="DR67">
            <v>9</v>
          </cell>
          <cell r="DS67">
            <v>12.2</v>
          </cell>
          <cell r="DT67">
            <v>19.8</v>
          </cell>
          <cell r="DU67" t="str">
            <v>nd</v>
          </cell>
          <cell r="DV67">
            <v>1.5718099999999999</v>
          </cell>
          <cell r="DW67">
            <v>0</v>
          </cell>
          <cell r="DX67">
            <v>0</v>
          </cell>
          <cell r="DY67" t="str">
            <v>nd</v>
          </cell>
          <cell r="DZ67">
            <v>3.2359999999999998</v>
          </cell>
          <cell r="EA67">
            <v>3.5742700000000003</v>
          </cell>
          <cell r="EB67" t="str">
            <v>nd</v>
          </cell>
          <cell r="EC67">
            <v>2.4960799999999996</v>
          </cell>
          <cell r="ED67">
            <v>1.5701799999999999</v>
          </cell>
          <cell r="EE67">
            <v>0</v>
          </cell>
          <cell r="EF67">
            <v>25.541261799999997</v>
          </cell>
          <cell r="EG67">
            <v>7.9970046000000004</v>
          </cell>
          <cell r="EH67" t="str">
            <v>nd</v>
          </cell>
          <cell r="EI67" t="str">
            <v>nd</v>
          </cell>
          <cell r="EJ67" t="str">
            <v>nd</v>
          </cell>
          <cell r="EK67" t="str">
            <v>nd</v>
          </cell>
          <cell r="EL67">
            <v>30.555943600000003</v>
          </cell>
          <cell r="EM67">
            <v>4.16744</v>
          </cell>
          <cell r="EN67">
            <v>1.6707900000000002</v>
          </cell>
          <cell r="EO67">
            <v>0</v>
          </cell>
          <cell r="EP67" t="str">
            <v>nd</v>
          </cell>
          <cell r="EQ67">
            <v>1.33761</v>
          </cell>
          <cell r="ER67">
            <v>8.3035650000000008</v>
          </cell>
          <cell r="ES67">
            <v>0</v>
          </cell>
          <cell r="ET67">
            <v>0</v>
          </cell>
          <cell r="EU67">
            <v>0</v>
          </cell>
          <cell r="EV67">
            <v>0</v>
          </cell>
          <cell r="EW67">
            <v>1.2212499999999999</v>
          </cell>
          <cell r="EX67">
            <v>0</v>
          </cell>
          <cell r="EY67" t="str">
            <v>nd</v>
          </cell>
          <cell r="EZ67">
            <v>0</v>
          </cell>
          <cell r="FA67">
            <v>0</v>
          </cell>
          <cell r="FB67">
            <v>2.0172300000000001</v>
          </cell>
          <cell r="FC67" t="str">
            <v>nd</v>
          </cell>
          <cell r="FD67" t="str">
            <v>nd</v>
          </cell>
          <cell r="FE67" t="str">
            <v>nd</v>
          </cell>
          <cell r="FF67">
            <v>1.1223399999999999</v>
          </cell>
          <cell r="FG67">
            <v>3.2076199999999999</v>
          </cell>
          <cell r="FH67">
            <v>6.1280900000000003</v>
          </cell>
          <cell r="FI67" t="str">
            <v>nd</v>
          </cell>
          <cell r="FJ67">
            <v>0</v>
          </cell>
          <cell r="FK67">
            <v>0</v>
          </cell>
          <cell r="FL67" t="str">
            <v>nd</v>
          </cell>
          <cell r="FM67">
            <v>16.939885</v>
          </cell>
          <cell r="FN67">
            <v>18.750786599999998</v>
          </cell>
          <cell r="FO67">
            <v>0</v>
          </cell>
          <cell r="FP67" t="str">
            <v>nd</v>
          </cell>
          <cell r="FQ67" t="str">
            <v>nd</v>
          </cell>
          <cell r="FR67">
            <v>2.5980300000000001</v>
          </cell>
          <cell r="FS67">
            <v>13.014439999999999</v>
          </cell>
          <cell r="FT67">
            <v>21.966924500000001</v>
          </cell>
          <cell r="FU67">
            <v>0</v>
          </cell>
          <cell r="FV67">
            <v>0</v>
          </cell>
          <cell r="FW67">
            <v>0</v>
          </cell>
          <cell r="FX67" t="str">
            <v>nd</v>
          </cell>
          <cell r="FY67">
            <v>4.7378</v>
          </cell>
          <cell r="FZ67">
            <v>4.5307500000000003</v>
          </cell>
          <cell r="GA67">
            <v>1.20574</v>
          </cell>
          <cell r="GB67">
            <v>0</v>
          </cell>
          <cell r="GC67">
            <v>0</v>
          </cell>
          <cell r="GD67">
            <v>0</v>
          </cell>
          <cell r="GE67" t="str">
            <v>nd</v>
          </cell>
          <cell r="GF67">
            <v>1.1756900000000001</v>
          </cell>
          <cell r="GG67">
            <v>0.55253600000000003</v>
          </cell>
          <cell r="GH67">
            <v>1.5371900000000001</v>
          </cell>
          <cell r="GI67">
            <v>3.17693</v>
          </cell>
          <cell r="GJ67">
            <v>4.5128899999999996</v>
          </cell>
          <cell r="GK67" t="str">
            <v>nd</v>
          </cell>
          <cell r="GL67" t="str">
            <v>nd</v>
          </cell>
          <cell r="GM67">
            <v>0</v>
          </cell>
          <cell r="GN67">
            <v>0</v>
          </cell>
          <cell r="GO67">
            <v>4.3969699999999996</v>
          </cell>
          <cell r="GP67">
            <v>17.467474899999999</v>
          </cell>
          <cell r="GQ67">
            <v>14.664226699999999</v>
          </cell>
          <cell r="GR67">
            <v>0</v>
          </cell>
          <cell r="GS67">
            <v>0</v>
          </cell>
          <cell r="GT67">
            <v>0</v>
          </cell>
          <cell r="GU67">
            <v>1.68289</v>
          </cell>
          <cell r="GV67">
            <v>15.928811400000001</v>
          </cell>
          <cell r="GW67">
            <v>20.923159999999999</v>
          </cell>
          <cell r="GX67">
            <v>0</v>
          </cell>
          <cell r="GY67">
            <v>0</v>
          </cell>
          <cell r="GZ67">
            <v>0</v>
          </cell>
          <cell r="HA67">
            <v>0</v>
          </cell>
          <cell r="HB67">
            <v>3.8546200000000002</v>
          </cell>
          <cell r="HC67">
            <v>5.64405</v>
          </cell>
          <cell r="HD67">
            <v>0</v>
          </cell>
          <cell r="HE67">
            <v>1.0071300000000001</v>
          </cell>
          <cell r="HF67">
            <v>0</v>
          </cell>
          <cell r="HG67">
            <v>0.56845000000000001</v>
          </cell>
          <cell r="HH67" t="str">
            <v>nd</v>
          </cell>
          <cell r="HI67">
            <v>0</v>
          </cell>
          <cell r="HJ67">
            <v>0</v>
          </cell>
          <cell r="HK67">
            <v>0</v>
          </cell>
          <cell r="HL67">
            <v>0.99795999999999996</v>
          </cell>
          <cell r="HM67">
            <v>9.0446837000000002</v>
          </cell>
          <cell r="HN67">
            <v>2.2502299999999997</v>
          </cell>
          <cell r="HO67">
            <v>0</v>
          </cell>
          <cell r="HP67">
            <v>0</v>
          </cell>
          <cell r="HQ67">
            <v>0</v>
          </cell>
          <cell r="HR67">
            <v>1.4870299999999999</v>
          </cell>
          <cell r="HS67">
            <v>33.140776600000002</v>
          </cell>
          <cell r="HT67">
            <v>3.7438600000000002</v>
          </cell>
          <cell r="HU67">
            <v>0</v>
          </cell>
          <cell r="HV67">
            <v>0</v>
          </cell>
          <cell r="HW67">
            <v>0</v>
          </cell>
          <cell r="HX67">
            <v>3.9234900000000001</v>
          </cell>
          <cell r="HY67">
            <v>24.969263599999998</v>
          </cell>
          <cell r="HZ67">
            <v>8.7619260000000008</v>
          </cell>
          <cell r="IA67">
            <v>0</v>
          </cell>
          <cell r="IB67">
            <v>0</v>
          </cell>
          <cell r="IC67">
            <v>0</v>
          </cell>
          <cell r="ID67" t="str">
            <v>nd</v>
          </cell>
          <cell r="IE67">
            <v>7.4332955000000007</v>
          </cell>
          <cell r="IF67" t="str">
            <v>nd</v>
          </cell>
          <cell r="IG67">
            <v>0</v>
          </cell>
          <cell r="IH67">
            <v>1.9274699999999998</v>
          </cell>
          <cell r="II67">
            <v>0</v>
          </cell>
          <cell r="IJ67">
            <v>0.82257999999999998</v>
          </cell>
          <cell r="IK67">
            <v>0</v>
          </cell>
          <cell r="IL67">
            <v>0</v>
          </cell>
          <cell r="IM67">
            <v>0</v>
          </cell>
          <cell r="IN67">
            <v>0</v>
          </cell>
          <cell r="IO67">
            <v>1.3150299999999999</v>
          </cell>
          <cell r="IP67">
            <v>7.4939266</v>
          </cell>
          <cell r="IQ67">
            <v>3.31168</v>
          </cell>
          <cell r="IR67">
            <v>0</v>
          </cell>
          <cell r="IS67">
            <v>0</v>
          </cell>
          <cell r="IT67">
            <v>0</v>
          </cell>
          <cell r="IU67">
            <v>5.1943799999999998</v>
          </cell>
          <cell r="IV67">
            <v>25.699216100000001</v>
          </cell>
          <cell r="IW67">
            <v>6.7272080999999995</v>
          </cell>
          <cell r="IX67">
            <v>0</v>
          </cell>
          <cell r="IY67">
            <v>0</v>
          </cell>
          <cell r="IZ67" t="str">
            <v>nd</v>
          </cell>
          <cell r="JA67">
            <v>4.92502</v>
          </cell>
          <cell r="JB67">
            <v>26.5624702</v>
          </cell>
          <cell r="JC67">
            <v>5.9836299999999998</v>
          </cell>
          <cell r="JD67">
            <v>0</v>
          </cell>
          <cell r="JE67">
            <v>0</v>
          </cell>
          <cell r="JF67">
            <v>0</v>
          </cell>
          <cell r="JG67">
            <v>1.23275</v>
          </cell>
          <cell r="JH67">
            <v>7.1882763000000001</v>
          </cell>
          <cell r="JI67">
            <v>1.29962</v>
          </cell>
          <cell r="JJ67">
            <v>0</v>
          </cell>
          <cell r="JK67">
            <v>0.63914300000000002</v>
          </cell>
          <cell r="JL67">
            <v>0</v>
          </cell>
          <cell r="JM67">
            <v>0</v>
          </cell>
          <cell r="JN67">
            <v>2.1682600000000001</v>
          </cell>
          <cell r="JO67">
            <v>0</v>
          </cell>
          <cell r="JP67">
            <v>0</v>
          </cell>
          <cell r="JQ67">
            <v>0</v>
          </cell>
          <cell r="JR67">
            <v>0</v>
          </cell>
          <cell r="JS67" t="str">
            <v>nd</v>
          </cell>
          <cell r="JT67">
            <v>11.613987400000001</v>
          </cell>
          <cell r="JU67">
            <v>0</v>
          </cell>
          <cell r="JV67">
            <v>0</v>
          </cell>
          <cell r="JW67">
            <v>0</v>
          </cell>
          <cell r="JX67">
            <v>0</v>
          </cell>
          <cell r="JY67" t="str">
            <v>nd</v>
          </cell>
          <cell r="JZ67">
            <v>36.378822399999997</v>
          </cell>
          <cell r="KA67">
            <v>0</v>
          </cell>
          <cell r="KB67">
            <v>0</v>
          </cell>
          <cell r="KC67">
            <v>0</v>
          </cell>
          <cell r="KD67">
            <v>0</v>
          </cell>
          <cell r="KE67">
            <v>0</v>
          </cell>
          <cell r="KF67">
            <v>38.358757599999997</v>
          </cell>
          <cell r="KG67">
            <v>0</v>
          </cell>
          <cell r="KH67">
            <v>0</v>
          </cell>
          <cell r="KI67">
            <v>0</v>
          </cell>
          <cell r="KJ67">
            <v>0</v>
          </cell>
          <cell r="KK67">
            <v>0</v>
          </cell>
          <cell r="KL67">
            <v>9.3628070000000001</v>
          </cell>
          <cell r="KM67">
            <v>73.7</v>
          </cell>
          <cell r="KN67">
            <v>4.7</v>
          </cell>
          <cell r="KO67">
            <v>8.3000000000000007</v>
          </cell>
          <cell r="KP67">
            <v>6.1</v>
          </cell>
          <cell r="KQ67">
            <v>7.1999999999999993</v>
          </cell>
          <cell r="KR67">
            <v>0.1</v>
          </cell>
          <cell r="KS67">
            <v>72.099999999999994</v>
          </cell>
          <cell r="KT67">
            <v>4.9000000000000004</v>
          </cell>
          <cell r="KU67">
            <v>8.6</v>
          </cell>
          <cell r="KV67">
            <v>6.4</v>
          </cell>
          <cell r="KW67">
            <v>7.9</v>
          </cell>
          <cell r="KX67">
            <v>0.1</v>
          </cell>
          <cell r="KY67"/>
          <cell r="KZ67"/>
          <cell r="LA67"/>
          <cell r="LB67"/>
          <cell r="LC67"/>
          <cell r="LD67"/>
          <cell r="LE67"/>
          <cell r="LF67"/>
          <cell r="LG67"/>
          <cell r="LH67"/>
          <cell r="LI67"/>
          <cell r="LJ67"/>
          <cell r="LK67"/>
          <cell r="LL67"/>
          <cell r="LM67"/>
          <cell r="LN67"/>
          <cell r="LO67"/>
        </row>
        <row r="68">
          <cell r="A68" t="str">
            <v>5HZ</v>
          </cell>
          <cell r="B68" t="str">
            <v>68</v>
          </cell>
          <cell r="C68" t="str">
            <v>NAF 17</v>
          </cell>
          <cell r="D68" t="str">
            <v>HZ</v>
          </cell>
          <cell r="E68" t="str">
            <v>5</v>
          </cell>
          <cell r="F68">
            <v>1.3</v>
          </cell>
          <cell r="G68">
            <v>12</v>
          </cell>
          <cell r="H68">
            <v>37.200000000000003</v>
          </cell>
          <cell r="I68">
            <v>42.5</v>
          </cell>
          <cell r="J68">
            <v>7.0000000000000009</v>
          </cell>
          <cell r="K68">
            <v>69.399999999999991</v>
          </cell>
          <cell r="L68">
            <v>14.499999999999998</v>
          </cell>
          <cell r="M68">
            <v>12.9</v>
          </cell>
          <cell r="N68" t="str">
            <v>nd</v>
          </cell>
          <cell r="O68">
            <v>32.4</v>
          </cell>
          <cell r="P68">
            <v>30.4</v>
          </cell>
          <cell r="Q68">
            <v>3</v>
          </cell>
          <cell r="R68">
            <v>8.5</v>
          </cell>
          <cell r="S68">
            <v>9.3000000000000007</v>
          </cell>
          <cell r="T68">
            <v>39.1</v>
          </cell>
          <cell r="U68">
            <v>4.2</v>
          </cell>
          <cell r="V68">
            <v>21.099999999999998</v>
          </cell>
          <cell r="W68">
            <v>14.6</v>
          </cell>
          <cell r="X68">
            <v>82.899999999999991</v>
          </cell>
          <cell r="Y68">
            <v>2.4</v>
          </cell>
          <cell r="Z68" t="str">
            <v>nd</v>
          </cell>
          <cell r="AA68">
            <v>72.399999999999991</v>
          </cell>
          <cell r="AB68" t="str">
            <v>nd</v>
          </cell>
          <cell r="AC68">
            <v>52.400000000000006</v>
          </cell>
          <cell r="AD68" t="str">
            <v>nd</v>
          </cell>
          <cell r="AE68">
            <v>77.900000000000006</v>
          </cell>
          <cell r="AF68">
            <v>22.1</v>
          </cell>
          <cell r="AG68">
            <v>78</v>
          </cell>
          <cell r="AH68">
            <v>22</v>
          </cell>
          <cell r="AI68">
            <v>38.1</v>
          </cell>
          <cell r="AJ68">
            <v>3.9</v>
          </cell>
          <cell r="AK68">
            <v>0</v>
          </cell>
          <cell r="AL68">
            <v>48.1</v>
          </cell>
          <cell r="AM68">
            <v>9.9</v>
          </cell>
          <cell r="AN68">
            <v>6.7</v>
          </cell>
          <cell r="AO68" t="str">
            <v>nd</v>
          </cell>
          <cell r="AP68">
            <v>6</v>
          </cell>
          <cell r="AQ68">
            <v>71.899999999999991</v>
          </cell>
          <cell r="AR68">
            <v>13.5</v>
          </cell>
          <cell r="AS68">
            <v>64.3</v>
          </cell>
          <cell r="AT68">
            <v>17.899999999999999</v>
          </cell>
          <cell r="AU68">
            <v>4.3999999999999995</v>
          </cell>
          <cell r="AV68">
            <v>3.5999999999999996</v>
          </cell>
          <cell r="AW68">
            <v>4.8</v>
          </cell>
          <cell r="AX68">
            <v>4.9000000000000004</v>
          </cell>
          <cell r="AY68">
            <v>0</v>
          </cell>
          <cell r="AZ68">
            <v>2.4</v>
          </cell>
          <cell r="BA68" t="str">
            <v>nd</v>
          </cell>
          <cell r="BB68">
            <v>8.9</v>
          </cell>
          <cell r="BC68">
            <v>42.5</v>
          </cell>
          <cell r="BD68">
            <v>44.800000000000004</v>
          </cell>
          <cell r="BE68">
            <v>1.7000000000000002</v>
          </cell>
          <cell r="BF68">
            <v>5.6000000000000005</v>
          </cell>
          <cell r="BG68">
            <v>2.1999999999999997</v>
          </cell>
          <cell r="BH68">
            <v>12.4</v>
          </cell>
          <cell r="BI68">
            <v>47.5</v>
          </cell>
          <cell r="BJ68">
            <v>30.599999999999998</v>
          </cell>
          <cell r="BK68" t="str">
            <v>nd</v>
          </cell>
          <cell r="BL68">
            <v>0</v>
          </cell>
          <cell r="BM68">
            <v>0</v>
          </cell>
          <cell r="BN68">
            <v>15.9</v>
          </cell>
          <cell r="BO68">
            <v>78.7</v>
          </cell>
          <cell r="BP68">
            <v>4.9000000000000004</v>
          </cell>
          <cell r="BQ68">
            <v>0</v>
          </cell>
          <cell r="BR68" t="str">
            <v>nd</v>
          </cell>
          <cell r="BS68" t="str">
            <v>nd</v>
          </cell>
          <cell r="BT68">
            <v>19.8</v>
          </cell>
          <cell r="BU68">
            <v>67</v>
          </cell>
          <cell r="BV68">
            <v>10.5</v>
          </cell>
          <cell r="BW68">
            <v>0</v>
          </cell>
          <cell r="BX68">
            <v>0</v>
          </cell>
          <cell r="BY68">
            <v>0</v>
          </cell>
          <cell r="BZ68">
            <v>0</v>
          </cell>
          <cell r="CA68" t="str">
            <v>nd</v>
          </cell>
          <cell r="CB68">
            <v>98.4</v>
          </cell>
          <cell r="CC68">
            <v>19.2</v>
          </cell>
          <cell r="CD68">
            <v>10.6</v>
          </cell>
          <cell r="CE68">
            <v>0</v>
          </cell>
          <cell r="CF68" t="str">
            <v>nd</v>
          </cell>
          <cell r="CG68">
            <v>0</v>
          </cell>
          <cell r="CH68">
            <v>17.599999999999998</v>
          </cell>
          <cell r="CI68">
            <v>5.6000000000000005</v>
          </cell>
          <cell r="CJ68">
            <v>59.9</v>
          </cell>
          <cell r="CK68">
            <v>34.1</v>
          </cell>
          <cell r="CL68">
            <v>4.3</v>
          </cell>
          <cell r="CM68" t="str">
            <v>nd</v>
          </cell>
          <cell r="CN68" t="str">
            <v>nd</v>
          </cell>
          <cell r="CO68">
            <v>64.5</v>
          </cell>
          <cell r="CP68">
            <v>22</v>
          </cell>
          <cell r="CQ68">
            <v>26.1</v>
          </cell>
          <cell r="CR68">
            <v>10.7</v>
          </cell>
          <cell r="CS68">
            <v>41.099999999999994</v>
          </cell>
          <cell r="CT68">
            <v>25.6</v>
          </cell>
          <cell r="CU68">
            <v>74.400000000000006</v>
          </cell>
          <cell r="CV68">
            <v>13.4</v>
          </cell>
          <cell r="CW68">
            <v>86.6</v>
          </cell>
          <cell r="CX68">
            <v>27.1</v>
          </cell>
          <cell r="CY68">
            <v>35.699999999999996</v>
          </cell>
          <cell r="CZ68">
            <v>37.299999999999997</v>
          </cell>
          <cell r="DA68">
            <v>31.5</v>
          </cell>
          <cell r="DB68">
            <v>0</v>
          </cell>
          <cell r="DC68" t="str">
            <v>nd</v>
          </cell>
          <cell r="DD68">
            <v>0</v>
          </cell>
          <cell r="DE68">
            <v>76.3</v>
          </cell>
          <cell r="DF68">
            <v>11</v>
          </cell>
          <cell r="DG68">
            <v>9.1999999999999993</v>
          </cell>
          <cell r="DH68">
            <v>17.899999999999999</v>
          </cell>
          <cell r="DI68">
            <v>15.5</v>
          </cell>
          <cell r="DJ68">
            <v>23.1</v>
          </cell>
          <cell r="DK68">
            <v>23.400000000000002</v>
          </cell>
          <cell r="DL68">
            <v>15.7</v>
          </cell>
          <cell r="DM68">
            <v>41.3</v>
          </cell>
          <cell r="DN68">
            <v>3.5999999999999996</v>
          </cell>
          <cell r="DO68">
            <v>25.7</v>
          </cell>
          <cell r="DP68">
            <v>10.4</v>
          </cell>
          <cell r="DQ68">
            <v>3.5000000000000004</v>
          </cell>
          <cell r="DR68" t="str">
            <v>nd</v>
          </cell>
          <cell r="DS68">
            <v>18</v>
          </cell>
          <cell r="DT68">
            <v>24.099999999999998</v>
          </cell>
          <cell r="DU68">
            <v>0</v>
          </cell>
          <cell r="DV68" t="str">
            <v>nd</v>
          </cell>
          <cell r="DW68">
            <v>0</v>
          </cell>
          <cell r="DX68" t="str">
            <v>nd</v>
          </cell>
          <cell r="DY68" t="str">
            <v>nd</v>
          </cell>
          <cell r="DZ68">
            <v>4.6824500000000002</v>
          </cell>
          <cell r="EA68" t="str">
            <v>nd</v>
          </cell>
          <cell r="EB68" t="str">
            <v>nd</v>
          </cell>
          <cell r="EC68" t="str">
            <v>nd</v>
          </cell>
          <cell r="ED68">
            <v>4.1566100000000006</v>
          </cell>
          <cell r="EE68" t="str">
            <v>nd</v>
          </cell>
          <cell r="EF68">
            <v>19.859699299999999</v>
          </cell>
          <cell r="EG68">
            <v>9.9053398000000001</v>
          </cell>
          <cell r="EH68" t="str">
            <v>nd</v>
          </cell>
          <cell r="EI68" t="str">
            <v>nd</v>
          </cell>
          <cell r="EJ68">
            <v>0</v>
          </cell>
          <cell r="EK68">
            <v>4.0258700000000003</v>
          </cell>
          <cell r="EL68">
            <v>34.937449000000001</v>
          </cell>
          <cell r="EM68">
            <v>6.2426000000000004</v>
          </cell>
          <cell r="EN68" t="str">
            <v>nd</v>
          </cell>
          <cell r="EO68">
            <v>0</v>
          </cell>
          <cell r="EP68">
            <v>0</v>
          </cell>
          <cell r="EQ68">
            <v>0</v>
          </cell>
          <cell r="ER68">
            <v>4.8837999999999999</v>
          </cell>
          <cell r="ES68" t="str">
            <v>nd</v>
          </cell>
          <cell r="ET68">
            <v>0</v>
          </cell>
          <cell r="EU68" t="str">
            <v>nd</v>
          </cell>
          <cell r="EV68">
            <v>0</v>
          </cell>
          <cell r="EW68">
            <v>0</v>
          </cell>
          <cell r="EX68">
            <v>0</v>
          </cell>
          <cell r="EY68" t="str">
            <v>nd</v>
          </cell>
          <cell r="EZ68">
            <v>0</v>
          </cell>
          <cell r="FA68" t="str">
            <v>nd</v>
          </cell>
          <cell r="FB68" t="str">
            <v>nd</v>
          </cell>
          <cell r="FC68">
            <v>0</v>
          </cell>
          <cell r="FD68">
            <v>0</v>
          </cell>
          <cell r="FE68">
            <v>0</v>
          </cell>
          <cell r="FF68">
            <v>1.5994000000000002</v>
          </cell>
          <cell r="FG68">
            <v>3.9105399999999997</v>
          </cell>
          <cell r="FH68">
            <v>6.4761170000000003</v>
          </cell>
          <cell r="FI68">
            <v>0</v>
          </cell>
          <cell r="FJ68" t="str">
            <v>nd</v>
          </cell>
          <cell r="FK68">
            <v>0</v>
          </cell>
          <cell r="FL68">
            <v>3.3106200000000001</v>
          </cell>
          <cell r="FM68">
            <v>18.112753900000001</v>
          </cell>
          <cell r="FN68">
            <v>12.8208237</v>
          </cell>
          <cell r="FO68">
            <v>0</v>
          </cell>
          <cell r="FP68" t="str">
            <v>nd</v>
          </cell>
          <cell r="FQ68" t="str">
            <v>nd</v>
          </cell>
          <cell r="FR68">
            <v>2.6627899999999998</v>
          </cell>
          <cell r="FS68">
            <v>17.8597413</v>
          </cell>
          <cell r="FT68">
            <v>21.105363799999999</v>
          </cell>
          <cell r="FU68">
            <v>0</v>
          </cell>
          <cell r="FV68">
            <v>0</v>
          </cell>
          <cell r="FW68">
            <v>0</v>
          </cell>
          <cell r="FX68" t="str">
            <v>nd</v>
          </cell>
          <cell r="FY68">
            <v>2.3220000000000001</v>
          </cell>
          <cell r="FZ68">
            <v>3.6062400000000001</v>
          </cell>
          <cell r="GA68" t="str">
            <v>nd</v>
          </cell>
          <cell r="GB68">
            <v>0</v>
          </cell>
          <cell r="GC68">
            <v>0</v>
          </cell>
          <cell r="GD68">
            <v>0</v>
          </cell>
          <cell r="GE68" t="str">
            <v>nd</v>
          </cell>
          <cell r="GF68">
            <v>0</v>
          </cell>
          <cell r="GG68">
            <v>5.1787200000000002</v>
          </cell>
          <cell r="GH68" t="str">
            <v>nd</v>
          </cell>
          <cell r="GI68" t="str">
            <v>nd</v>
          </cell>
          <cell r="GJ68">
            <v>4.6824500000000002</v>
          </cell>
          <cell r="GK68" t="str">
            <v>nd</v>
          </cell>
          <cell r="GL68">
            <v>0</v>
          </cell>
          <cell r="GM68">
            <v>0</v>
          </cell>
          <cell r="GN68" t="str">
            <v>nd</v>
          </cell>
          <cell r="GO68">
            <v>7.4883473000000009</v>
          </cell>
          <cell r="GP68">
            <v>15.509890400000002</v>
          </cell>
          <cell r="GQ68">
            <v>12.126530500000001</v>
          </cell>
          <cell r="GR68">
            <v>0</v>
          </cell>
          <cell r="GS68">
            <v>0</v>
          </cell>
          <cell r="GT68" t="str">
            <v>nd</v>
          </cell>
          <cell r="GU68" t="str">
            <v>nd</v>
          </cell>
          <cell r="GV68">
            <v>24.000986399999999</v>
          </cell>
          <cell r="GW68">
            <v>15.022920000000001</v>
          </cell>
          <cell r="GX68" t="str">
            <v>nd</v>
          </cell>
          <cell r="GY68">
            <v>0</v>
          </cell>
          <cell r="GZ68">
            <v>0</v>
          </cell>
          <cell r="HA68">
            <v>0</v>
          </cell>
          <cell r="HB68">
            <v>3.3206399999999996</v>
          </cell>
          <cell r="HC68">
            <v>2.5728800000000001</v>
          </cell>
          <cell r="HD68">
            <v>0</v>
          </cell>
          <cell r="HE68">
            <v>0.95455999999999996</v>
          </cell>
          <cell r="HF68">
            <v>0</v>
          </cell>
          <cell r="HG68" t="str">
            <v>nd</v>
          </cell>
          <cell r="HH68">
            <v>0</v>
          </cell>
          <cell r="HI68">
            <v>0</v>
          </cell>
          <cell r="HJ68">
            <v>0</v>
          </cell>
          <cell r="HK68">
            <v>0</v>
          </cell>
          <cell r="HL68">
            <v>2.0947400000000003</v>
          </cell>
          <cell r="HM68">
            <v>9.2657278999999999</v>
          </cell>
          <cell r="HN68">
            <v>0</v>
          </cell>
          <cell r="HO68" t="str">
            <v>nd</v>
          </cell>
          <cell r="HP68">
            <v>0</v>
          </cell>
          <cell r="HQ68">
            <v>0</v>
          </cell>
          <cell r="HR68">
            <v>8.1457544000000013</v>
          </cell>
          <cell r="HS68">
            <v>25.079979699999999</v>
          </cell>
          <cell r="HT68">
            <v>2.9460099999999998</v>
          </cell>
          <cell r="HU68">
            <v>0</v>
          </cell>
          <cell r="HV68">
            <v>0</v>
          </cell>
          <cell r="HW68">
            <v>0</v>
          </cell>
          <cell r="HX68">
            <v>4.0356499999999995</v>
          </cell>
          <cell r="HY68">
            <v>37.507463100000002</v>
          </cell>
          <cell r="HZ68">
            <v>1.9586399999999999</v>
          </cell>
          <cell r="IA68">
            <v>0</v>
          </cell>
          <cell r="IB68">
            <v>0</v>
          </cell>
          <cell r="IC68">
            <v>0</v>
          </cell>
          <cell r="ID68" t="str">
            <v>nd</v>
          </cell>
          <cell r="IE68">
            <v>5.9021299999999997</v>
          </cell>
          <cell r="IF68">
            <v>0</v>
          </cell>
          <cell r="IG68">
            <v>0</v>
          </cell>
          <cell r="IH68" t="str">
            <v>nd</v>
          </cell>
          <cell r="II68">
            <v>0</v>
          </cell>
          <cell r="IJ68" t="str">
            <v>nd</v>
          </cell>
          <cell r="IK68" t="str">
            <v>nd</v>
          </cell>
          <cell r="IL68">
            <v>0</v>
          </cell>
          <cell r="IM68" t="str">
            <v>nd</v>
          </cell>
          <cell r="IN68">
            <v>0</v>
          </cell>
          <cell r="IO68">
            <v>2.98291</v>
          </cell>
          <cell r="IP68">
            <v>4.0762999999999998</v>
          </cell>
          <cell r="IQ68" t="str">
            <v>nd</v>
          </cell>
          <cell r="IR68">
            <v>0</v>
          </cell>
          <cell r="IS68">
            <v>0</v>
          </cell>
          <cell r="IT68" t="str">
            <v>nd</v>
          </cell>
          <cell r="IU68">
            <v>9.5932363000000009</v>
          </cell>
          <cell r="IV68">
            <v>20.852721900000002</v>
          </cell>
          <cell r="IW68">
            <v>4.7319300000000002</v>
          </cell>
          <cell r="IX68">
            <v>0</v>
          </cell>
          <cell r="IY68">
            <v>0</v>
          </cell>
          <cell r="IZ68" t="str">
            <v>nd</v>
          </cell>
          <cell r="JA68">
            <v>4.0703300000000002</v>
          </cell>
          <cell r="JB68">
            <v>36.583631700000005</v>
          </cell>
          <cell r="JC68">
            <v>1.79613</v>
          </cell>
          <cell r="JD68">
            <v>0</v>
          </cell>
          <cell r="JE68">
            <v>0</v>
          </cell>
          <cell r="JF68">
            <v>0</v>
          </cell>
          <cell r="JG68" t="str">
            <v>nd</v>
          </cell>
          <cell r="JH68">
            <v>4.8405100000000001</v>
          </cell>
          <cell r="JI68">
            <v>0</v>
          </cell>
          <cell r="JJ68">
            <v>0</v>
          </cell>
          <cell r="JK68" t="str">
            <v>nd</v>
          </cell>
          <cell r="JL68">
            <v>0</v>
          </cell>
          <cell r="JM68">
            <v>0</v>
          </cell>
          <cell r="JN68">
            <v>1.20404</v>
          </cell>
          <cell r="JO68">
            <v>0</v>
          </cell>
          <cell r="JP68">
            <v>0</v>
          </cell>
          <cell r="JQ68">
            <v>0</v>
          </cell>
          <cell r="JR68">
            <v>0</v>
          </cell>
          <cell r="JS68" t="str">
            <v>nd</v>
          </cell>
          <cell r="JT68">
            <v>10.412579600000001</v>
          </cell>
          <cell r="JU68">
            <v>0</v>
          </cell>
          <cell r="JV68">
            <v>0</v>
          </cell>
          <cell r="JW68">
            <v>0</v>
          </cell>
          <cell r="JX68">
            <v>0</v>
          </cell>
          <cell r="JY68">
            <v>0</v>
          </cell>
          <cell r="JZ68">
            <v>36.557725499999997</v>
          </cell>
          <cell r="KA68">
            <v>0</v>
          </cell>
          <cell r="KB68">
            <v>0</v>
          </cell>
          <cell r="KC68">
            <v>0</v>
          </cell>
          <cell r="KD68">
            <v>0</v>
          </cell>
          <cell r="KE68">
            <v>0</v>
          </cell>
          <cell r="KF68">
            <v>42.971006699999997</v>
          </cell>
          <cell r="KG68">
            <v>0</v>
          </cell>
          <cell r="KH68">
            <v>0</v>
          </cell>
          <cell r="KI68">
            <v>0</v>
          </cell>
          <cell r="KJ68">
            <v>0</v>
          </cell>
          <cell r="KK68">
            <v>0</v>
          </cell>
          <cell r="KL68">
            <v>7.2775532000000007</v>
          </cell>
          <cell r="KM68">
            <v>67.800000000000011</v>
          </cell>
          <cell r="KN68">
            <v>5.8999999999999995</v>
          </cell>
          <cell r="KO68">
            <v>10.8</v>
          </cell>
          <cell r="KP68">
            <v>7.7</v>
          </cell>
          <cell r="KQ68">
            <v>7.8</v>
          </cell>
          <cell r="KR68">
            <v>0.1</v>
          </cell>
          <cell r="KS68">
            <v>65.8</v>
          </cell>
          <cell r="KT68">
            <v>6</v>
          </cell>
          <cell r="KU68">
            <v>11.1</v>
          </cell>
          <cell r="KV68">
            <v>8.4</v>
          </cell>
          <cell r="KW68">
            <v>8.6999999999999993</v>
          </cell>
          <cell r="KX68">
            <v>0.1</v>
          </cell>
          <cell r="KY68"/>
          <cell r="KZ68"/>
          <cell r="LA68"/>
          <cell r="LB68"/>
          <cell r="LC68"/>
          <cell r="LD68"/>
          <cell r="LE68"/>
          <cell r="LF68"/>
          <cell r="LG68"/>
          <cell r="LH68"/>
          <cell r="LI68"/>
          <cell r="LJ68"/>
          <cell r="LK68"/>
          <cell r="LL68"/>
          <cell r="LM68"/>
          <cell r="LN68"/>
          <cell r="LO68"/>
        </row>
        <row r="69">
          <cell r="A69" t="str">
            <v>6HZ</v>
          </cell>
          <cell r="B69" t="str">
            <v>69</v>
          </cell>
          <cell r="C69" t="str">
            <v>NAF 17</v>
          </cell>
          <cell r="D69" t="str">
            <v>HZ</v>
          </cell>
          <cell r="E69" t="str">
            <v>6</v>
          </cell>
          <cell r="F69">
            <v>0</v>
          </cell>
          <cell r="G69">
            <v>30.9</v>
          </cell>
          <cell r="H69">
            <v>32.4</v>
          </cell>
          <cell r="I69">
            <v>11.700000000000001</v>
          </cell>
          <cell r="J69">
            <v>25.1</v>
          </cell>
          <cell r="K69">
            <v>95.1</v>
          </cell>
          <cell r="L69">
            <v>4.5999999999999996</v>
          </cell>
          <cell r="M69" t="str">
            <v>nd</v>
          </cell>
          <cell r="N69" t="str">
            <v>nd</v>
          </cell>
          <cell r="O69">
            <v>39.200000000000003</v>
          </cell>
          <cell r="P69">
            <v>57.9</v>
          </cell>
          <cell r="Q69">
            <v>21.8</v>
          </cell>
          <cell r="R69">
            <v>3.1</v>
          </cell>
          <cell r="S69">
            <v>7.1</v>
          </cell>
          <cell r="T69">
            <v>42</v>
          </cell>
          <cell r="U69" t="str">
            <v>nd</v>
          </cell>
          <cell r="V69">
            <v>9.6</v>
          </cell>
          <cell r="W69">
            <v>24.4</v>
          </cell>
          <cell r="X69">
            <v>71.5</v>
          </cell>
          <cell r="Y69">
            <v>4.2</v>
          </cell>
          <cell r="Z69" t="str">
            <v>nd</v>
          </cell>
          <cell r="AA69">
            <v>43</v>
          </cell>
          <cell r="AB69">
            <v>0</v>
          </cell>
          <cell r="AC69">
            <v>86</v>
          </cell>
          <cell r="AD69">
            <v>22.3</v>
          </cell>
          <cell r="AE69">
            <v>81.599999999999994</v>
          </cell>
          <cell r="AF69">
            <v>18.399999999999999</v>
          </cell>
          <cell r="AG69">
            <v>94</v>
          </cell>
          <cell r="AH69">
            <v>6</v>
          </cell>
          <cell r="AI69">
            <v>48.5</v>
          </cell>
          <cell r="AJ69">
            <v>5.5</v>
          </cell>
          <cell r="AK69">
            <v>0</v>
          </cell>
          <cell r="AL69">
            <v>40.699999999999996</v>
          </cell>
          <cell r="AM69">
            <v>5.3</v>
          </cell>
          <cell r="AN69">
            <v>5.8000000000000007</v>
          </cell>
          <cell r="AO69">
            <v>1.6</v>
          </cell>
          <cell r="AP69" t="str">
            <v>nd</v>
          </cell>
          <cell r="AQ69">
            <v>64.900000000000006</v>
          </cell>
          <cell r="AR69">
            <v>22.8</v>
          </cell>
          <cell r="AS69">
            <v>32.200000000000003</v>
          </cell>
          <cell r="AT69">
            <v>25.4</v>
          </cell>
          <cell r="AU69">
            <v>20.100000000000001</v>
          </cell>
          <cell r="AV69">
            <v>4.5999999999999996</v>
          </cell>
          <cell r="AW69">
            <v>12.9</v>
          </cell>
          <cell r="AX69">
            <v>4.7</v>
          </cell>
          <cell r="AY69">
            <v>1</v>
          </cell>
          <cell r="AZ69">
            <v>32.6</v>
          </cell>
          <cell r="BA69">
            <v>3.9</v>
          </cell>
          <cell r="BB69">
            <v>20.8</v>
          </cell>
          <cell r="BC69">
            <v>30.099999999999998</v>
          </cell>
          <cell r="BD69">
            <v>11.700000000000001</v>
          </cell>
          <cell r="BE69">
            <v>0.5</v>
          </cell>
          <cell r="BF69">
            <v>3.1</v>
          </cell>
          <cell r="BG69" t="str">
            <v>nd</v>
          </cell>
          <cell r="BH69">
            <v>18.2</v>
          </cell>
          <cell r="BI69">
            <v>52.1</v>
          </cell>
          <cell r="BJ69">
            <v>24.6</v>
          </cell>
          <cell r="BK69">
            <v>0</v>
          </cell>
          <cell r="BL69">
            <v>0</v>
          </cell>
          <cell r="BM69">
            <v>0</v>
          </cell>
          <cell r="BN69">
            <v>5.7</v>
          </cell>
          <cell r="BO69">
            <v>92.100000000000009</v>
          </cell>
          <cell r="BP69">
            <v>2.1999999999999997</v>
          </cell>
          <cell r="BQ69">
            <v>0</v>
          </cell>
          <cell r="BR69">
            <v>0</v>
          </cell>
          <cell r="BS69" t="str">
            <v>nd</v>
          </cell>
          <cell r="BT69">
            <v>22.8</v>
          </cell>
          <cell r="BU69">
            <v>71.5</v>
          </cell>
          <cell r="BV69">
            <v>5.2</v>
          </cell>
          <cell r="BW69">
            <v>0</v>
          </cell>
          <cell r="BX69">
            <v>0</v>
          </cell>
          <cell r="BY69">
            <v>0</v>
          </cell>
          <cell r="BZ69">
            <v>0</v>
          </cell>
          <cell r="CA69">
            <v>13.900000000000002</v>
          </cell>
          <cell r="CB69">
            <v>86.1</v>
          </cell>
          <cell r="CC69">
            <v>17.8</v>
          </cell>
          <cell r="CD69">
            <v>4.5</v>
          </cell>
          <cell r="CE69" t="str">
            <v>nd</v>
          </cell>
          <cell r="CF69">
            <v>1.4000000000000001</v>
          </cell>
          <cell r="CG69">
            <v>0.4</v>
          </cell>
          <cell r="CH69">
            <v>4</v>
          </cell>
          <cell r="CI69">
            <v>1.3</v>
          </cell>
          <cell r="CJ69">
            <v>74.900000000000006</v>
          </cell>
          <cell r="CK69">
            <v>65.5</v>
          </cell>
          <cell r="CL69">
            <v>11.600000000000001</v>
          </cell>
          <cell r="CM69">
            <v>1.7000000000000002</v>
          </cell>
          <cell r="CN69">
            <v>2</v>
          </cell>
          <cell r="CO69">
            <v>33.700000000000003</v>
          </cell>
          <cell r="CP69">
            <v>6.5</v>
          </cell>
          <cell r="CQ69">
            <v>24.6</v>
          </cell>
          <cell r="CR69">
            <v>20.8</v>
          </cell>
          <cell r="CS69">
            <v>48.1</v>
          </cell>
          <cell r="CT69">
            <v>37</v>
          </cell>
          <cell r="CU69">
            <v>63</v>
          </cell>
          <cell r="CV69">
            <v>25.3</v>
          </cell>
          <cell r="CW69">
            <v>74.7</v>
          </cell>
          <cell r="CX69">
            <v>17.5</v>
          </cell>
          <cell r="CY69">
            <v>27</v>
          </cell>
          <cell r="CZ69">
            <v>55.500000000000007</v>
          </cell>
          <cell r="DA69">
            <v>29.099999999999998</v>
          </cell>
          <cell r="DB69" t="str">
            <v>nd</v>
          </cell>
          <cell r="DC69">
            <v>22.5</v>
          </cell>
          <cell r="DD69">
            <v>0</v>
          </cell>
          <cell r="DE69">
            <v>71.5</v>
          </cell>
          <cell r="DF69">
            <v>11.600000000000001</v>
          </cell>
          <cell r="DG69">
            <v>2</v>
          </cell>
          <cell r="DH69">
            <v>24.4</v>
          </cell>
          <cell r="DI69">
            <v>4.1000000000000005</v>
          </cell>
          <cell r="DJ69">
            <v>44.9</v>
          </cell>
          <cell r="DK69">
            <v>13</v>
          </cell>
          <cell r="DL69">
            <v>6</v>
          </cell>
          <cell r="DM69">
            <v>55.1</v>
          </cell>
          <cell r="DN69">
            <v>23.1</v>
          </cell>
          <cell r="DO69">
            <v>32.800000000000004</v>
          </cell>
          <cell r="DP69">
            <v>1.4000000000000001</v>
          </cell>
          <cell r="DQ69">
            <v>1.3</v>
          </cell>
          <cell r="DR69">
            <v>2.6</v>
          </cell>
          <cell r="DS69">
            <v>7.1</v>
          </cell>
          <cell r="DT69">
            <v>26.900000000000002</v>
          </cell>
          <cell r="DU69">
            <v>0</v>
          </cell>
          <cell r="DV69">
            <v>0</v>
          </cell>
          <cell r="DW69">
            <v>0</v>
          </cell>
          <cell r="DX69">
            <v>0</v>
          </cell>
          <cell r="DY69">
            <v>0</v>
          </cell>
          <cell r="DZ69" t="str">
            <v>nd</v>
          </cell>
          <cell r="EA69" t="str">
            <v>nd</v>
          </cell>
          <cell r="EB69" t="str">
            <v>nd</v>
          </cell>
          <cell r="EC69">
            <v>2.9296599999999997</v>
          </cell>
          <cell r="ED69">
            <v>12.151783500000001</v>
          </cell>
          <cell r="EE69">
            <v>0.125722</v>
          </cell>
          <cell r="EF69">
            <v>17.607608799999998</v>
          </cell>
          <cell r="EG69">
            <v>9.8056423000000006</v>
          </cell>
          <cell r="EH69" t="str">
            <v>nd</v>
          </cell>
          <cell r="EI69">
            <v>0.90144000000000002</v>
          </cell>
          <cell r="EJ69" t="str">
            <v>nd</v>
          </cell>
          <cell r="EK69">
            <v>0.36499799999999999</v>
          </cell>
          <cell r="EL69">
            <v>7.8658108000000002</v>
          </cell>
          <cell r="EM69">
            <v>1.3980700000000001</v>
          </cell>
          <cell r="EN69">
            <v>0</v>
          </cell>
          <cell r="EO69">
            <v>0</v>
          </cell>
          <cell r="EP69">
            <v>0</v>
          </cell>
          <cell r="EQ69">
            <v>4.1413400000000005</v>
          </cell>
          <cell r="ER69">
            <v>5.1596200000000003</v>
          </cell>
          <cell r="ES69" t="str">
            <v>nd</v>
          </cell>
          <cell r="ET69" t="str">
            <v>nd</v>
          </cell>
          <cell r="EU69" t="str">
            <v>nd</v>
          </cell>
          <cell r="EV69">
            <v>0</v>
          </cell>
          <cell r="EW69">
            <v>0</v>
          </cell>
          <cell r="EX69">
            <v>0</v>
          </cell>
          <cell r="EY69">
            <v>0</v>
          </cell>
          <cell r="EZ69">
            <v>0</v>
          </cell>
          <cell r="FA69">
            <v>0</v>
          </cell>
          <cell r="FB69">
            <v>0</v>
          </cell>
          <cell r="FC69">
            <v>0</v>
          </cell>
          <cell r="FD69" t="str">
            <v>nd</v>
          </cell>
          <cell r="FE69" t="str">
            <v>nd</v>
          </cell>
          <cell r="FF69">
            <v>12.780703299999999</v>
          </cell>
          <cell r="FG69">
            <v>1.68981</v>
          </cell>
          <cell r="FH69">
            <v>0.125722</v>
          </cell>
          <cell r="FI69">
            <v>0.95274999999999999</v>
          </cell>
          <cell r="FJ69" t="str">
            <v>nd</v>
          </cell>
          <cell r="FK69" t="str">
            <v>nd</v>
          </cell>
          <cell r="FL69">
            <v>7.4075968000000003</v>
          </cell>
          <cell r="FM69">
            <v>18.797703499999997</v>
          </cell>
          <cell r="FN69">
            <v>2.6791900000000002</v>
          </cell>
          <cell r="FO69">
            <v>0</v>
          </cell>
          <cell r="FP69">
            <v>0</v>
          </cell>
          <cell r="FQ69">
            <v>0</v>
          </cell>
          <cell r="FR69" t="str">
            <v>nd</v>
          </cell>
          <cell r="FS69">
            <v>7.8102579000000008</v>
          </cell>
          <cell r="FT69">
            <v>4.8121099999999997</v>
          </cell>
          <cell r="FU69">
            <v>0</v>
          </cell>
          <cell r="FV69" t="str">
            <v>nd</v>
          </cell>
          <cell r="FW69" t="str">
            <v>nd</v>
          </cell>
          <cell r="FX69">
            <v>0</v>
          </cell>
          <cell r="FY69">
            <v>0.81531999999999993</v>
          </cell>
          <cell r="FZ69">
            <v>4.0778400000000001</v>
          </cell>
          <cell r="GA69">
            <v>0</v>
          </cell>
          <cell r="GB69">
            <v>0</v>
          </cell>
          <cell r="GC69">
            <v>0</v>
          </cell>
          <cell r="GD69">
            <v>0</v>
          </cell>
          <cell r="GE69">
            <v>0</v>
          </cell>
          <cell r="GF69">
            <v>0.53428700000000007</v>
          </cell>
          <cell r="GG69">
            <v>3.11388</v>
          </cell>
          <cell r="GH69" t="str">
            <v>nd</v>
          </cell>
          <cell r="GI69">
            <v>11.7083666</v>
          </cell>
          <cell r="GJ69">
            <v>14.6474265</v>
          </cell>
          <cell r="GK69">
            <v>0</v>
          </cell>
          <cell r="GL69">
            <v>0</v>
          </cell>
          <cell r="GM69">
            <v>0</v>
          </cell>
          <cell r="GN69" t="str">
            <v>nd</v>
          </cell>
          <cell r="GO69">
            <v>5.9173600000000004</v>
          </cell>
          <cell r="GP69">
            <v>11.279340100000001</v>
          </cell>
          <cell r="GQ69">
            <v>12.445668100000001</v>
          </cell>
          <cell r="GR69">
            <v>0</v>
          </cell>
          <cell r="GS69">
            <v>0</v>
          </cell>
          <cell r="GT69">
            <v>0</v>
          </cell>
          <cell r="GU69" t="str">
            <v>nd</v>
          </cell>
          <cell r="GV69">
            <v>6.2756667000000004</v>
          </cell>
          <cell r="GW69">
            <v>6.8535421000000003</v>
          </cell>
          <cell r="GX69">
            <v>0</v>
          </cell>
          <cell r="GY69">
            <v>0</v>
          </cell>
          <cell r="GZ69">
            <v>0</v>
          </cell>
          <cell r="HA69" t="str">
            <v>nd</v>
          </cell>
          <cell r="HB69">
            <v>20.801060800000002</v>
          </cell>
          <cell r="HC69">
            <v>4.4200299999999997</v>
          </cell>
          <cell r="HD69">
            <v>0</v>
          </cell>
          <cell r="HE69">
            <v>0</v>
          </cell>
          <cell r="HF69">
            <v>0</v>
          </cell>
          <cell r="HG69">
            <v>0</v>
          </cell>
          <cell r="HH69">
            <v>0</v>
          </cell>
          <cell r="HI69">
            <v>0</v>
          </cell>
          <cell r="HJ69">
            <v>0</v>
          </cell>
          <cell r="HK69">
            <v>0</v>
          </cell>
          <cell r="HL69" t="str">
            <v>nd</v>
          </cell>
          <cell r="HM69">
            <v>29.7862905</v>
          </cell>
          <cell r="HN69" t="str">
            <v>nd</v>
          </cell>
          <cell r="HO69">
            <v>0</v>
          </cell>
          <cell r="HP69">
            <v>0</v>
          </cell>
          <cell r="HQ69">
            <v>0</v>
          </cell>
          <cell r="HR69">
            <v>1.7192599999999998</v>
          </cell>
          <cell r="HS69">
            <v>28.031363199999998</v>
          </cell>
          <cell r="HT69" t="str">
            <v>nd</v>
          </cell>
          <cell r="HU69">
            <v>0</v>
          </cell>
          <cell r="HV69">
            <v>0</v>
          </cell>
          <cell r="HW69">
            <v>0</v>
          </cell>
          <cell r="HX69">
            <v>1.8661500000000002</v>
          </cell>
          <cell r="HY69">
            <v>9.8782269000000014</v>
          </cell>
          <cell r="HZ69">
            <v>1.6714500000000001</v>
          </cell>
          <cell r="IA69">
            <v>0</v>
          </cell>
          <cell r="IB69">
            <v>0</v>
          </cell>
          <cell r="IC69">
            <v>0</v>
          </cell>
          <cell r="ID69">
            <v>1.0774699999999999</v>
          </cell>
          <cell r="IE69">
            <v>24.404170999999998</v>
          </cell>
          <cell r="IF69" t="str">
            <v>nd</v>
          </cell>
          <cell r="IG69">
            <v>0</v>
          </cell>
          <cell r="IH69">
            <v>0</v>
          </cell>
          <cell r="II69">
            <v>0</v>
          </cell>
          <cell r="IJ69">
            <v>0</v>
          </cell>
          <cell r="IK69">
            <v>0</v>
          </cell>
          <cell r="IL69">
            <v>0</v>
          </cell>
          <cell r="IM69">
            <v>0</v>
          </cell>
          <cell r="IN69">
            <v>0</v>
          </cell>
          <cell r="IO69">
            <v>15.5357688</v>
          </cell>
          <cell r="IP69">
            <v>12.996880899999999</v>
          </cell>
          <cell r="IQ69" t="str">
            <v>nd</v>
          </cell>
          <cell r="IR69">
            <v>0</v>
          </cell>
          <cell r="IS69">
            <v>0</v>
          </cell>
          <cell r="IT69">
            <v>0</v>
          </cell>
          <cell r="IU69">
            <v>4.2426699999999995</v>
          </cell>
          <cell r="IV69">
            <v>25.468679100000003</v>
          </cell>
          <cell r="IW69">
            <v>0.37323899999999999</v>
          </cell>
          <cell r="IX69">
            <v>0</v>
          </cell>
          <cell r="IY69">
            <v>0</v>
          </cell>
          <cell r="IZ69" t="str">
            <v>nd</v>
          </cell>
          <cell r="JA69">
            <v>1.8569800000000001</v>
          </cell>
          <cell r="JB69">
            <v>10.269724399999999</v>
          </cell>
          <cell r="JC69">
            <v>0.83792</v>
          </cell>
          <cell r="JD69">
            <v>0</v>
          </cell>
          <cell r="JE69">
            <v>0</v>
          </cell>
          <cell r="JF69">
            <v>0</v>
          </cell>
          <cell r="JG69">
            <v>2.0800699999999996</v>
          </cell>
          <cell r="JH69">
            <v>21.922216800000001</v>
          </cell>
          <cell r="JI69">
            <v>1.63845</v>
          </cell>
          <cell r="JJ69">
            <v>0</v>
          </cell>
          <cell r="JK69">
            <v>0</v>
          </cell>
          <cell r="JL69">
            <v>0</v>
          </cell>
          <cell r="JM69">
            <v>0</v>
          </cell>
          <cell r="JN69">
            <v>0</v>
          </cell>
          <cell r="JO69">
            <v>0</v>
          </cell>
          <cell r="JP69">
            <v>0</v>
          </cell>
          <cell r="JQ69">
            <v>0</v>
          </cell>
          <cell r="JR69">
            <v>0</v>
          </cell>
          <cell r="JS69" t="str">
            <v>nd</v>
          </cell>
          <cell r="JT69">
            <v>17.087577100000001</v>
          </cell>
          <cell r="JU69">
            <v>0</v>
          </cell>
          <cell r="JV69">
            <v>0</v>
          </cell>
          <cell r="JW69">
            <v>0</v>
          </cell>
          <cell r="JX69">
            <v>0</v>
          </cell>
          <cell r="JY69" t="str">
            <v>nd</v>
          </cell>
          <cell r="JZ69">
            <v>30.098699800000002</v>
          </cell>
          <cell r="KA69">
            <v>0</v>
          </cell>
          <cell r="KB69">
            <v>0</v>
          </cell>
          <cell r="KC69">
            <v>0</v>
          </cell>
          <cell r="KD69">
            <v>0</v>
          </cell>
          <cell r="KE69" t="str">
            <v>nd</v>
          </cell>
          <cell r="KF69">
            <v>12.745725799999999</v>
          </cell>
          <cell r="KG69">
            <v>0</v>
          </cell>
          <cell r="KH69">
            <v>0</v>
          </cell>
          <cell r="KI69">
            <v>0</v>
          </cell>
          <cell r="KJ69">
            <v>0</v>
          </cell>
          <cell r="KK69">
            <v>0</v>
          </cell>
          <cell r="KL69">
            <v>25.353721800000002</v>
          </cell>
          <cell r="KM69">
            <v>48.6</v>
          </cell>
          <cell r="KN69">
            <v>25.6</v>
          </cell>
          <cell r="KO69">
            <v>10.5</v>
          </cell>
          <cell r="KP69">
            <v>6.6000000000000005</v>
          </cell>
          <cell r="KQ69">
            <v>8.4</v>
          </cell>
          <cell r="KR69">
            <v>0.4</v>
          </cell>
          <cell r="KS69">
            <v>46</v>
          </cell>
          <cell r="KT69">
            <v>26.700000000000003</v>
          </cell>
          <cell r="KU69">
            <v>11.1</v>
          </cell>
          <cell r="KV69">
            <v>6.6000000000000005</v>
          </cell>
          <cell r="KW69">
            <v>9.3000000000000007</v>
          </cell>
          <cell r="KX69">
            <v>0.4</v>
          </cell>
          <cell r="KY69"/>
          <cell r="KZ69"/>
          <cell r="LA69"/>
          <cell r="LB69"/>
          <cell r="LC69"/>
          <cell r="LD69"/>
          <cell r="LE69"/>
          <cell r="LF69"/>
          <cell r="LG69"/>
          <cell r="LH69"/>
          <cell r="LI69"/>
          <cell r="LJ69"/>
          <cell r="LK69"/>
          <cell r="LL69"/>
          <cell r="LM69"/>
          <cell r="LN69"/>
          <cell r="LO69"/>
        </row>
        <row r="70">
          <cell r="A70" t="str">
            <v>EnsIZ</v>
          </cell>
          <cell r="B70" t="str">
            <v>70</v>
          </cell>
          <cell r="C70" t="str">
            <v>NAF 17</v>
          </cell>
          <cell r="D70" t="str">
            <v>IZ</v>
          </cell>
          <cell r="E70" t="str">
            <v/>
          </cell>
          <cell r="F70">
            <v>12.2</v>
          </cell>
          <cell r="G70">
            <v>44.9</v>
          </cell>
          <cell r="H70">
            <v>30.8</v>
          </cell>
          <cell r="I70">
            <v>9.7000000000000011</v>
          </cell>
          <cell r="J70">
            <v>2.4</v>
          </cell>
          <cell r="K70">
            <v>41.4</v>
          </cell>
          <cell r="L70">
            <v>53</v>
          </cell>
          <cell r="M70">
            <v>3</v>
          </cell>
          <cell r="N70">
            <v>2.6</v>
          </cell>
          <cell r="O70">
            <v>48.4</v>
          </cell>
          <cell r="P70">
            <v>32.5</v>
          </cell>
          <cell r="Q70">
            <v>6.4</v>
          </cell>
          <cell r="R70">
            <v>3.5999999999999996</v>
          </cell>
          <cell r="S70">
            <v>5</v>
          </cell>
          <cell r="T70">
            <v>34</v>
          </cell>
          <cell r="U70">
            <v>29.4</v>
          </cell>
          <cell r="V70">
            <v>15.4</v>
          </cell>
          <cell r="W70">
            <v>28.1</v>
          </cell>
          <cell r="X70">
            <v>68.2</v>
          </cell>
          <cell r="Y70">
            <v>3.8</v>
          </cell>
          <cell r="Z70">
            <v>1.5</v>
          </cell>
          <cell r="AA70">
            <v>41.4</v>
          </cell>
          <cell r="AB70">
            <v>2.1999999999999997</v>
          </cell>
          <cell r="AC70">
            <v>73.5</v>
          </cell>
          <cell r="AD70">
            <v>15.299999999999999</v>
          </cell>
          <cell r="AE70">
            <v>85.3</v>
          </cell>
          <cell r="AF70">
            <v>14.7</v>
          </cell>
          <cell r="AG70">
            <v>28.799999999999997</v>
          </cell>
          <cell r="AH70">
            <v>71.2</v>
          </cell>
          <cell r="AI70">
            <v>37.6</v>
          </cell>
          <cell r="AJ70">
            <v>47.5</v>
          </cell>
          <cell r="AK70">
            <v>3.8</v>
          </cell>
          <cell r="AL70">
            <v>4.2</v>
          </cell>
          <cell r="AM70">
            <v>6.9</v>
          </cell>
          <cell r="AN70">
            <v>16.900000000000002</v>
          </cell>
          <cell r="AO70">
            <v>2.1</v>
          </cell>
          <cell r="AP70">
            <v>5.4</v>
          </cell>
          <cell r="AQ70">
            <v>68.300000000000011</v>
          </cell>
          <cell r="AR70">
            <v>7.3</v>
          </cell>
          <cell r="AS70">
            <v>44.7</v>
          </cell>
          <cell r="AT70">
            <v>11.5</v>
          </cell>
          <cell r="AU70">
            <v>13.600000000000001</v>
          </cell>
          <cell r="AV70">
            <v>5.7</v>
          </cell>
          <cell r="AW70">
            <v>16.400000000000002</v>
          </cell>
          <cell r="AX70">
            <v>8</v>
          </cell>
          <cell r="AY70" t="str">
            <v>nd</v>
          </cell>
          <cell r="AZ70">
            <v>1.3</v>
          </cell>
          <cell r="BA70">
            <v>0.89999999999999991</v>
          </cell>
          <cell r="BB70">
            <v>1.3</v>
          </cell>
          <cell r="BC70">
            <v>30.599999999999998</v>
          </cell>
          <cell r="BD70">
            <v>65.8</v>
          </cell>
          <cell r="BE70">
            <v>11.600000000000001</v>
          </cell>
          <cell r="BF70">
            <v>18.399999999999999</v>
          </cell>
          <cell r="BG70">
            <v>11.899999999999999</v>
          </cell>
          <cell r="BH70">
            <v>7.9</v>
          </cell>
          <cell r="BI70">
            <v>16.7</v>
          </cell>
          <cell r="BJ70">
            <v>33.4</v>
          </cell>
          <cell r="BK70">
            <v>0</v>
          </cell>
          <cell r="BL70">
            <v>0</v>
          </cell>
          <cell r="BM70">
            <v>0</v>
          </cell>
          <cell r="BN70">
            <v>8</v>
          </cell>
          <cell r="BO70">
            <v>56.399999999999991</v>
          </cell>
          <cell r="BP70">
            <v>35.699999999999996</v>
          </cell>
          <cell r="BQ70">
            <v>0.5</v>
          </cell>
          <cell r="BR70">
            <v>0.4</v>
          </cell>
          <cell r="BS70">
            <v>0.70000000000000007</v>
          </cell>
          <cell r="BT70">
            <v>25.5</v>
          </cell>
          <cell r="BU70">
            <v>36.700000000000003</v>
          </cell>
          <cell r="BV70">
            <v>36.199999999999996</v>
          </cell>
          <cell r="BW70">
            <v>0</v>
          </cell>
          <cell r="BX70">
            <v>0</v>
          </cell>
          <cell r="BY70">
            <v>0</v>
          </cell>
          <cell r="BZ70" t="str">
            <v>nd</v>
          </cell>
          <cell r="CA70">
            <v>2.1</v>
          </cell>
          <cell r="CB70">
            <v>94.3</v>
          </cell>
          <cell r="CC70">
            <v>2.8000000000000003</v>
          </cell>
          <cell r="CD70">
            <v>6.9</v>
          </cell>
          <cell r="CE70">
            <v>0.8</v>
          </cell>
          <cell r="CF70">
            <v>0.8</v>
          </cell>
          <cell r="CG70">
            <v>0</v>
          </cell>
          <cell r="CH70">
            <v>17.100000000000001</v>
          </cell>
          <cell r="CI70">
            <v>2.1999999999999997</v>
          </cell>
          <cell r="CJ70">
            <v>76.900000000000006</v>
          </cell>
          <cell r="CK70">
            <v>17.100000000000001</v>
          </cell>
          <cell r="CL70">
            <v>1.3</v>
          </cell>
          <cell r="CM70" t="str">
            <v>nd</v>
          </cell>
          <cell r="CN70" t="str">
            <v>nd</v>
          </cell>
          <cell r="CO70">
            <v>81.899999999999991</v>
          </cell>
          <cell r="CP70">
            <v>4.9000000000000004</v>
          </cell>
          <cell r="CQ70">
            <v>24.2</v>
          </cell>
          <cell r="CR70">
            <v>26.3</v>
          </cell>
          <cell r="CS70">
            <v>44.6</v>
          </cell>
          <cell r="CT70">
            <v>60.9</v>
          </cell>
          <cell r="CU70">
            <v>39.1</v>
          </cell>
          <cell r="CV70">
            <v>35.699999999999996</v>
          </cell>
          <cell r="CW70">
            <v>64.3</v>
          </cell>
          <cell r="CX70">
            <v>33.1</v>
          </cell>
          <cell r="CY70">
            <v>19.600000000000001</v>
          </cell>
          <cell r="CZ70">
            <v>47.3</v>
          </cell>
          <cell r="DA70">
            <v>34.4</v>
          </cell>
          <cell r="DB70">
            <v>25.1</v>
          </cell>
          <cell r="DC70">
            <v>22.2</v>
          </cell>
          <cell r="DD70">
            <v>3.2</v>
          </cell>
          <cell r="DE70">
            <v>35.099999999999994</v>
          </cell>
          <cell r="DF70">
            <v>2</v>
          </cell>
          <cell r="DG70">
            <v>3</v>
          </cell>
          <cell r="DH70">
            <v>18.7</v>
          </cell>
          <cell r="DI70">
            <v>11.3</v>
          </cell>
          <cell r="DJ70">
            <v>33.800000000000004</v>
          </cell>
          <cell r="DK70">
            <v>31.3</v>
          </cell>
          <cell r="DL70">
            <v>5.6000000000000005</v>
          </cell>
          <cell r="DM70">
            <v>50.6</v>
          </cell>
          <cell r="DN70">
            <v>4.1000000000000005</v>
          </cell>
          <cell r="DO70">
            <v>47</v>
          </cell>
          <cell r="DP70">
            <v>6.7</v>
          </cell>
          <cell r="DQ70">
            <v>1</v>
          </cell>
          <cell r="DR70">
            <v>4.2</v>
          </cell>
          <cell r="DS70">
            <v>21.5</v>
          </cell>
          <cell r="DT70">
            <v>29.9</v>
          </cell>
          <cell r="DU70">
            <v>1.4446999999999999</v>
          </cell>
          <cell r="DV70">
            <v>3.8125600000000004</v>
          </cell>
          <cell r="DW70" t="str">
            <v>nd</v>
          </cell>
          <cell r="DX70">
            <v>0.80408000000000013</v>
          </cell>
          <cell r="DY70">
            <v>4.3171900000000001</v>
          </cell>
          <cell r="DZ70">
            <v>13.391789800000002</v>
          </cell>
          <cell r="EA70">
            <v>6.3154968000000009</v>
          </cell>
          <cell r="EB70">
            <v>9.4185607000000005</v>
          </cell>
          <cell r="EC70">
            <v>3.4847799999999998</v>
          </cell>
          <cell r="ED70">
            <v>10.806184500000001</v>
          </cell>
          <cell r="EE70">
            <v>1.6691799999999999</v>
          </cell>
          <cell r="EF70">
            <v>21.423750999999999</v>
          </cell>
          <cell r="EG70">
            <v>3.8615700000000004</v>
          </cell>
          <cell r="EH70">
            <v>2.1345900000000002</v>
          </cell>
          <cell r="EI70">
            <v>0.9778</v>
          </cell>
          <cell r="EJ70">
            <v>1.24647</v>
          </cell>
          <cell r="EK70">
            <v>1.38774</v>
          </cell>
          <cell r="EL70">
            <v>7.3076610000000004</v>
          </cell>
          <cell r="EM70">
            <v>0.42701800000000001</v>
          </cell>
          <cell r="EN70" t="str">
            <v>nd</v>
          </cell>
          <cell r="EO70" t="str">
            <v>nd</v>
          </cell>
          <cell r="EP70" t="str">
            <v>nd</v>
          </cell>
          <cell r="EQ70">
            <v>0.64782899999999999</v>
          </cell>
          <cell r="ER70">
            <v>1.1607499999999999</v>
          </cell>
          <cell r="ES70" t="str">
            <v>nd</v>
          </cell>
          <cell r="ET70" t="str">
            <v>nd</v>
          </cell>
          <cell r="EU70" t="str">
            <v>nd</v>
          </cell>
          <cell r="EV70" t="str">
            <v>nd</v>
          </cell>
          <cell r="EW70">
            <v>0</v>
          </cell>
          <cell r="EX70">
            <v>0</v>
          </cell>
          <cell r="EY70">
            <v>5.4843200000000003</v>
          </cell>
          <cell r="EZ70" t="str">
            <v>nd</v>
          </cell>
          <cell r="FA70">
            <v>0.661937</v>
          </cell>
          <cell r="FB70">
            <v>6.2034000000000002</v>
          </cell>
          <cell r="FC70" t="str">
            <v>nd</v>
          </cell>
          <cell r="FD70" t="str">
            <v>nd</v>
          </cell>
          <cell r="FE70" t="str">
            <v>nd</v>
          </cell>
          <cell r="FF70">
            <v>0.50803200000000004</v>
          </cell>
          <cell r="FG70">
            <v>20.3007718</v>
          </cell>
          <cell r="FH70">
            <v>23.633421299999998</v>
          </cell>
          <cell r="FI70">
            <v>0</v>
          </cell>
          <cell r="FJ70" t="str">
            <v>nd</v>
          </cell>
          <cell r="FK70" t="str">
            <v>nd</v>
          </cell>
          <cell r="FL70" t="str">
            <v>nd</v>
          </cell>
          <cell r="FM70">
            <v>3.05945</v>
          </cell>
          <cell r="FN70">
            <v>27.2987307</v>
          </cell>
          <cell r="FO70">
            <v>0</v>
          </cell>
          <cell r="FP70">
            <v>1.03254</v>
          </cell>
          <cell r="FQ70">
            <v>0</v>
          </cell>
          <cell r="FR70">
            <v>0</v>
          </cell>
          <cell r="FS70">
            <v>1.23255</v>
          </cell>
          <cell r="FT70">
            <v>7.3201768999999999</v>
          </cell>
          <cell r="FU70">
            <v>0</v>
          </cell>
          <cell r="FV70">
            <v>0</v>
          </cell>
          <cell r="FW70" t="str">
            <v>nd</v>
          </cell>
          <cell r="FX70">
            <v>0</v>
          </cell>
          <cell r="FY70" t="str">
            <v>nd</v>
          </cell>
          <cell r="FZ70">
            <v>1.3499099999999999</v>
          </cell>
          <cell r="GA70">
            <v>7.7576099999999997</v>
          </cell>
          <cell r="GB70" t="str">
            <v>nd</v>
          </cell>
          <cell r="GC70">
            <v>0.60006099999999996</v>
          </cell>
          <cell r="GD70">
            <v>0.52085700000000001</v>
          </cell>
          <cell r="GE70">
            <v>1.1453500000000001</v>
          </cell>
          <cell r="GF70">
            <v>2.27732</v>
          </cell>
          <cell r="GG70">
            <v>13.032205299999999</v>
          </cell>
          <cell r="GH70">
            <v>9.4665227000000005</v>
          </cell>
          <cell r="GI70">
            <v>4.4806400000000002</v>
          </cell>
          <cell r="GJ70">
            <v>6.8202990000000003</v>
          </cell>
          <cell r="GK70">
            <v>9.0307679000000007</v>
          </cell>
          <cell r="GL70">
            <v>1.02319</v>
          </cell>
          <cell r="GM70">
            <v>2.6465900000000002</v>
          </cell>
          <cell r="GN70">
            <v>1.2426299999999999</v>
          </cell>
          <cell r="GO70">
            <v>2.5419899999999997</v>
          </cell>
          <cell r="GP70">
            <v>7.2923109999999998</v>
          </cell>
          <cell r="GQ70">
            <v>15.7927134</v>
          </cell>
          <cell r="GR70" t="str">
            <v>nd</v>
          </cell>
          <cell r="GS70" t="str">
            <v>nd</v>
          </cell>
          <cell r="GT70" t="str">
            <v>nd</v>
          </cell>
          <cell r="GU70" t="str">
            <v>nd</v>
          </cell>
          <cell r="GV70">
            <v>1.6297200000000001</v>
          </cell>
          <cell r="GW70">
            <v>6.1865999999999994</v>
          </cell>
          <cell r="GX70" t="str">
            <v>nd</v>
          </cell>
          <cell r="GY70">
            <v>0</v>
          </cell>
          <cell r="GZ70">
            <v>0</v>
          </cell>
          <cell r="HA70">
            <v>0</v>
          </cell>
          <cell r="HB70">
            <v>0.71495699999999995</v>
          </cell>
          <cell r="HC70">
            <v>1.3014100000000002</v>
          </cell>
          <cell r="HD70">
            <v>0</v>
          </cell>
          <cell r="HE70">
            <v>5.9221000000000004</v>
          </cell>
          <cell r="HF70">
            <v>0</v>
          </cell>
          <cell r="HG70" t="str">
            <v>nd</v>
          </cell>
          <cell r="HH70">
            <v>5.9059300000000006</v>
          </cell>
          <cell r="HI70">
            <v>0</v>
          </cell>
          <cell r="HJ70">
            <v>0</v>
          </cell>
          <cell r="HK70">
            <v>0</v>
          </cell>
          <cell r="HL70">
            <v>5.7056500000000003</v>
          </cell>
          <cell r="HM70">
            <v>27.321828500000002</v>
          </cell>
          <cell r="HN70">
            <v>12.378327199999999</v>
          </cell>
          <cell r="HO70">
            <v>0</v>
          </cell>
          <cell r="HP70">
            <v>0</v>
          </cell>
          <cell r="HQ70">
            <v>0</v>
          </cell>
          <cell r="HR70">
            <v>1.1059400000000001</v>
          </cell>
          <cell r="HS70">
            <v>14.502203399999999</v>
          </cell>
          <cell r="HT70">
            <v>14.1753885</v>
          </cell>
          <cell r="HU70">
            <v>0</v>
          </cell>
          <cell r="HV70">
            <v>0</v>
          </cell>
          <cell r="HW70">
            <v>0</v>
          </cell>
          <cell r="HX70" t="str">
            <v>nd</v>
          </cell>
          <cell r="HY70">
            <v>7.0210218000000006</v>
          </cell>
          <cell r="HZ70">
            <v>3.2286799999999998</v>
          </cell>
          <cell r="IA70">
            <v>0</v>
          </cell>
          <cell r="IB70">
            <v>0</v>
          </cell>
          <cell r="IC70">
            <v>0</v>
          </cell>
          <cell r="ID70" t="str">
            <v>nd</v>
          </cell>
          <cell r="IE70">
            <v>1.6765599999999998</v>
          </cell>
          <cell r="IF70">
            <v>0</v>
          </cell>
          <cell r="IG70" t="str">
            <v>nd</v>
          </cell>
          <cell r="IH70">
            <v>3.4640900000000001</v>
          </cell>
          <cell r="II70">
            <v>0</v>
          </cell>
          <cell r="IJ70">
            <v>1.9886899999999998</v>
          </cell>
          <cell r="IK70">
            <v>6.4065282999999997</v>
          </cell>
          <cell r="IL70">
            <v>0</v>
          </cell>
          <cell r="IM70" t="str">
            <v>nd</v>
          </cell>
          <cell r="IN70" t="str">
            <v>nd</v>
          </cell>
          <cell r="IO70">
            <v>19.1995307</v>
          </cell>
          <cell r="IP70">
            <v>12.2244539</v>
          </cell>
          <cell r="IQ70">
            <v>12.9177692</v>
          </cell>
          <cell r="IR70" t="str">
            <v>nd</v>
          </cell>
          <cell r="IS70" t="str">
            <v>nd</v>
          </cell>
          <cell r="IT70" t="str">
            <v>nd</v>
          </cell>
          <cell r="IU70">
            <v>3.1670999999999996</v>
          </cell>
          <cell r="IV70">
            <v>13.729443199999999</v>
          </cell>
          <cell r="IW70">
            <v>12.800582299999999</v>
          </cell>
          <cell r="IX70">
            <v>0</v>
          </cell>
          <cell r="IY70" t="str">
            <v>nd</v>
          </cell>
          <cell r="IZ70">
            <v>0</v>
          </cell>
          <cell r="JA70">
            <v>0.86510000000000009</v>
          </cell>
          <cell r="JB70">
            <v>5.6599399999999997</v>
          </cell>
          <cell r="JC70">
            <v>3.6759200000000001</v>
          </cell>
          <cell r="JD70">
            <v>0</v>
          </cell>
          <cell r="JE70">
            <v>0</v>
          </cell>
          <cell r="JF70">
            <v>0</v>
          </cell>
          <cell r="JG70" t="str">
            <v>nd</v>
          </cell>
          <cell r="JH70">
            <v>1.6984599999999999</v>
          </cell>
          <cell r="JI70" t="str">
            <v>nd</v>
          </cell>
          <cell r="JJ70">
            <v>0</v>
          </cell>
          <cell r="JK70">
            <v>0</v>
          </cell>
          <cell r="JL70">
            <v>0</v>
          </cell>
          <cell r="JM70">
            <v>0</v>
          </cell>
          <cell r="JN70">
            <v>12.264462700000001</v>
          </cell>
          <cell r="JO70">
            <v>0</v>
          </cell>
          <cell r="JP70">
            <v>0</v>
          </cell>
          <cell r="JQ70">
            <v>0</v>
          </cell>
          <cell r="JR70" t="str">
            <v>nd</v>
          </cell>
          <cell r="JS70">
            <v>0.81502999999999992</v>
          </cell>
          <cell r="JT70">
            <v>40.7146702</v>
          </cell>
          <cell r="JU70">
            <v>0</v>
          </cell>
          <cell r="JV70">
            <v>0</v>
          </cell>
          <cell r="JW70">
            <v>0</v>
          </cell>
          <cell r="JX70">
            <v>0</v>
          </cell>
          <cell r="JY70">
            <v>1.32359</v>
          </cell>
          <cell r="JZ70">
            <v>29.419722700000001</v>
          </cell>
          <cell r="KA70">
            <v>0</v>
          </cell>
          <cell r="KB70">
            <v>0</v>
          </cell>
          <cell r="KC70">
            <v>0</v>
          </cell>
          <cell r="KD70">
            <v>0</v>
          </cell>
          <cell r="KE70">
            <v>0</v>
          </cell>
          <cell r="KF70">
            <v>9.621998099999999</v>
          </cell>
          <cell r="KG70">
            <v>0</v>
          </cell>
          <cell r="KH70">
            <v>0</v>
          </cell>
          <cell r="KI70">
            <v>0</v>
          </cell>
          <cell r="KJ70">
            <v>0</v>
          </cell>
          <cell r="KK70">
            <v>0</v>
          </cell>
          <cell r="KL70">
            <v>2.2696800000000001</v>
          </cell>
          <cell r="KM70">
            <v>56.100000000000009</v>
          </cell>
          <cell r="KN70">
            <v>3.2</v>
          </cell>
          <cell r="KO70">
            <v>28.4</v>
          </cell>
          <cell r="KP70">
            <v>4.5999999999999996</v>
          </cell>
          <cell r="KQ70">
            <v>6.9</v>
          </cell>
          <cell r="KR70">
            <v>0.70000000000000007</v>
          </cell>
          <cell r="KS70">
            <v>54.900000000000006</v>
          </cell>
          <cell r="KT70">
            <v>3.2</v>
          </cell>
          <cell r="KU70">
            <v>27.400000000000002</v>
          </cell>
          <cell r="KV70">
            <v>5</v>
          </cell>
          <cell r="KW70">
            <v>8.6999999999999993</v>
          </cell>
          <cell r="KX70">
            <v>0.89999999999999991</v>
          </cell>
          <cell r="KY70"/>
          <cell r="KZ70"/>
          <cell r="LA70"/>
          <cell r="LB70"/>
          <cell r="LC70"/>
          <cell r="LD70"/>
          <cell r="LE70"/>
          <cell r="LF70"/>
          <cell r="LG70"/>
          <cell r="LH70"/>
          <cell r="LI70"/>
          <cell r="LJ70"/>
          <cell r="LK70"/>
          <cell r="LL70"/>
          <cell r="LM70"/>
          <cell r="LN70"/>
          <cell r="LO70"/>
        </row>
        <row r="71">
          <cell r="A71" t="str">
            <v>1IZ</v>
          </cell>
          <cell r="B71" t="str">
            <v>71</v>
          </cell>
          <cell r="C71" t="str">
            <v>NAF 17</v>
          </cell>
          <cell r="D71" t="str">
            <v>IZ</v>
          </cell>
          <cell r="E71" t="str">
            <v>1</v>
          </cell>
          <cell r="F71">
            <v>13.4</v>
          </cell>
          <cell r="G71">
            <v>35.5</v>
          </cell>
          <cell r="H71">
            <v>34.5</v>
          </cell>
          <cell r="I71">
            <v>15</v>
          </cell>
          <cell r="J71" t="str">
            <v>nd</v>
          </cell>
          <cell r="K71">
            <v>44.6</v>
          </cell>
          <cell r="L71">
            <v>47.3</v>
          </cell>
          <cell r="M71">
            <v>3.9</v>
          </cell>
          <cell r="N71">
            <v>4.2</v>
          </cell>
          <cell r="O71">
            <v>53.5</v>
          </cell>
          <cell r="P71">
            <v>34.1</v>
          </cell>
          <cell r="Q71">
            <v>8.9</v>
          </cell>
          <cell r="R71">
            <v>2.2999999999999998</v>
          </cell>
          <cell r="S71">
            <v>6</v>
          </cell>
          <cell r="T71">
            <v>39.200000000000003</v>
          </cell>
          <cell r="U71">
            <v>26.3</v>
          </cell>
          <cell r="V71">
            <v>17</v>
          </cell>
          <cell r="W71">
            <v>29.099999999999998</v>
          </cell>
          <cell r="X71">
            <v>67.400000000000006</v>
          </cell>
          <cell r="Y71">
            <v>3.5000000000000004</v>
          </cell>
          <cell r="Z71" t="str">
            <v>nd</v>
          </cell>
          <cell r="AA71">
            <v>36.9</v>
          </cell>
          <cell r="AB71" t="str">
            <v>nd</v>
          </cell>
          <cell r="AC71">
            <v>63.800000000000004</v>
          </cell>
          <cell r="AD71">
            <v>20.200000000000003</v>
          </cell>
          <cell r="AE71">
            <v>79</v>
          </cell>
          <cell r="AF71">
            <v>21</v>
          </cell>
          <cell r="AG71">
            <v>10.8</v>
          </cell>
          <cell r="AH71">
            <v>89.2</v>
          </cell>
          <cell r="AI71">
            <v>49.1</v>
          </cell>
          <cell r="AJ71">
            <v>35.799999999999997</v>
          </cell>
          <cell r="AK71">
            <v>4.3999999999999995</v>
          </cell>
          <cell r="AL71" t="str">
            <v>nd</v>
          </cell>
          <cell r="AM71">
            <v>8.2000000000000011</v>
          </cell>
          <cell r="AN71">
            <v>2.4</v>
          </cell>
          <cell r="AO71">
            <v>0</v>
          </cell>
          <cell r="AP71">
            <v>5.0999999999999996</v>
          </cell>
          <cell r="AQ71">
            <v>87.1</v>
          </cell>
          <cell r="AR71">
            <v>5.4</v>
          </cell>
          <cell r="AS71">
            <v>57.8</v>
          </cell>
          <cell r="AT71">
            <v>11.700000000000001</v>
          </cell>
          <cell r="AU71">
            <v>9.8000000000000007</v>
          </cell>
          <cell r="AV71" t="str">
            <v>nd</v>
          </cell>
          <cell r="AW71">
            <v>5.2</v>
          </cell>
          <cell r="AX71">
            <v>15</v>
          </cell>
          <cell r="AY71">
            <v>0</v>
          </cell>
          <cell r="AZ71">
            <v>0</v>
          </cell>
          <cell r="BA71" t="str">
            <v>nd</v>
          </cell>
          <cell r="BB71">
            <v>0</v>
          </cell>
          <cell r="BC71">
            <v>7.1999999999999993</v>
          </cell>
          <cell r="BD71">
            <v>91.100000000000009</v>
          </cell>
          <cell r="BE71">
            <v>9.4</v>
          </cell>
          <cell r="BF71">
            <v>6.7</v>
          </cell>
          <cell r="BG71">
            <v>7.9</v>
          </cell>
          <cell r="BH71">
            <v>10.199999999999999</v>
          </cell>
          <cell r="BI71">
            <v>19.8</v>
          </cell>
          <cell r="BJ71">
            <v>45.9</v>
          </cell>
          <cell r="BK71">
            <v>0</v>
          </cell>
          <cell r="BL71">
            <v>0</v>
          </cell>
          <cell r="BM71">
            <v>0</v>
          </cell>
          <cell r="BN71" t="str">
            <v>nd</v>
          </cell>
          <cell r="BO71">
            <v>36</v>
          </cell>
          <cell r="BP71">
            <v>62.5</v>
          </cell>
          <cell r="BQ71" t="str">
            <v>nd</v>
          </cell>
          <cell r="BR71" t="str">
            <v>nd</v>
          </cell>
          <cell r="BS71" t="str">
            <v>nd</v>
          </cell>
          <cell r="BT71">
            <v>8.6</v>
          </cell>
          <cell r="BU71">
            <v>19.3</v>
          </cell>
          <cell r="BV71">
            <v>68.7</v>
          </cell>
          <cell r="BW71">
            <v>0</v>
          </cell>
          <cell r="BX71">
            <v>0</v>
          </cell>
          <cell r="BY71">
            <v>0</v>
          </cell>
          <cell r="BZ71">
            <v>0</v>
          </cell>
          <cell r="CA71">
            <v>2.4</v>
          </cell>
          <cell r="CB71">
            <v>97.6</v>
          </cell>
          <cell r="CC71">
            <v>5.6000000000000005</v>
          </cell>
          <cell r="CD71">
            <v>8</v>
          </cell>
          <cell r="CE71" t="str">
            <v>nd</v>
          </cell>
          <cell r="CF71" t="str">
            <v>nd</v>
          </cell>
          <cell r="CG71">
            <v>0</v>
          </cell>
          <cell r="CH71">
            <v>21.9</v>
          </cell>
          <cell r="CI71">
            <v>2.8000000000000003</v>
          </cell>
          <cell r="CJ71">
            <v>70.8</v>
          </cell>
          <cell r="CK71">
            <v>17.399999999999999</v>
          </cell>
          <cell r="CL71" t="str">
            <v>nd</v>
          </cell>
          <cell r="CM71" t="str">
            <v>nd</v>
          </cell>
          <cell r="CN71" t="str">
            <v>nd</v>
          </cell>
          <cell r="CO71">
            <v>82.199999999999989</v>
          </cell>
          <cell r="CP71">
            <v>3.9</v>
          </cell>
          <cell r="CQ71">
            <v>32.9</v>
          </cell>
          <cell r="CR71">
            <v>32.6</v>
          </cell>
          <cell r="CS71">
            <v>30.599999999999998</v>
          </cell>
          <cell r="CT71">
            <v>52.800000000000004</v>
          </cell>
          <cell r="CU71">
            <v>47.199999999999996</v>
          </cell>
          <cell r="CV71">
            <v>26.8</v>
          </cell>
          <cell r="CW71">
            <v>73.2</v>
          </cell>
          <cell r="CX71">
            <v>35.9</v>
          </cell>
          <cell r="CY71">
            <v>24</v>
          </cell>
          <cell r="CZ71">
            <v>40.1</v>
          </cell>
          <cell r="DA71">
            <v>21.5</v>
          </cell>
          <cell r="DB71">
            <v>20.8</v>
          </cell>
          <cell r="DC71">
            <v>27.1</v>
          </cell>
          <cell r="DD71" t="str">
            <v>nd</v>
          </cell>
          <cell r="DE71">
            <v>45.9</v>
          </cell>
          <cell r="DF71">
            <v>2.5</v>
          </cell>
          <cell r="DG71">
            <v>2.8000000000000003</v>
          </cell>
          <cell r="DH71">
            <v>11.200000000000001</v>
          </cell>
          <cell r="DI71">
            <v>16.5</v>
          </cell>
          <cell r="DJ71">
            <v>37.1</v>
          </cell>
          <cell r="DK71">
            <v>29.9</v>
          </cell>
          <cell r="DL71">
            <v>7.1999999999999993</v>
          </cell>
          <cell r="DM71">
            <v>48</v>
          </cell>
          <cell r="DN71">
            <v>2.1999999999999997</v>
          </cell>
          <cell r="DO71">
            <v>52.2</v>
          </cell>
          <cell r="DP71">
            <v>8.1</v>
          </cell>
          <cell r="DQ71">
            <v>0</v>
          </cell>
          <cell r="DR71">
            <v>6.6000000000000005</v>
          </cell>
          <cell r="DS71">
            <v>3.8</v>
          </cell>
          <cell r="DT71">
            <v>27.1</v>
          </cell>
          <cell r="DU71" t="str">
            <v>nd</v>
          </cell>
          <cell r="DV71" t="str">
            <v>nd</v>
          </cell>
          <cell r="DW71" t="str">
            <v>nd</v>
          </cell>
          <cell r="DX71">
            <v>0</v>
          </cell>
          <cell r="DY71">
            <v>8.2849345000000003</v>
          </cell>
          <cell r="DZ71">
            <v>18.133558099999998</v>
          </cell>
          <cell r="EA71">
            <v>7.3410130000000002</v>
          </cell>
          <cell r="EB71">
            <v>4.23597</v>
          </cell>
          <cell r="EC71" t="str">
            <v>nd</v>
          </cell>
          <cell r="ED71" t="str">
            <v>nd</v>
          </cell>
          <cell r="EE71">
            <v>3.1301399999999999</v>
          </cell>
          <cell r="EF71">
            <v>24.4823874</v>
          </cell>
          <cell r="EG71">
            <v>2.66587</v>
          </cell>
          <cell r="EH71">
            <v>3.6795099999999996</v>
          </cell>
          <cell r="EI71">
            <v>0</v>
          </cell>
          <cell r="EJ71">
            <v>1.9707300000000001</v>
          </cell>
          <cell r="EK71">
            <v>2.1722100000000002</v>
          </cell>
          <cell r="EL71">
            <v>12.107136799999999</v>
          </cell>
          <cell r="EM71" t="str">
            <v>nd</v>
          </cell>
          <cell r="EN71" t="str">
            <v>nd</v>
          </cell>
          <cell r="EO71">
            <v>0</v>
          </cell>
          <cell r="EP71" t="str">
            <v>nd</v>
          </cell>
          <cell r="EQ71" t="str">
            <v>nd</v>
          </cell>
          <cell r="ER71" t="str">
            <v>nd</v>
          </cell>
          <cell r="ES71">
            <v>0</v>
          </cell>
          <cell r="ET71">
            <v>0</v>
          </cell>
          <cell r="EU71">
            <v>0</v>
          </cell>
          <cell r="EV71">
            <v>0</v>
          </cell>
          <cell r="EW71">
            <v>0</v>
          </cell>
          <cell r="EX71">
            <v>0</v>
          </cell>
          <cell r="EY71">
            <v>2.4468899999999998</v>
          </cell>
          <cell r="EZ71" t="str">
            <v>nd</v>
          </cell>
          <cell r="FA71">
            <v>0</v>
          </cell>
          <cell r="FB71">
            <v>11.020064999999999</v>
          </cell>
          <cell r="FC71">
            <v>0</v>
          </cell>
          <cell r="FD71">
            <v>0</v>
          </cell>
          <cell r="FE71">
            <v>0</v>
          </cell>
          <cell r="FF71">
            <v>0</v>
          </cell>
          <cell r="FG71">
            <v>3.25875</v>
          </cell>
          <cell r="FH71">
            <v>32.215365200000001</v>
          </cell>
          <cell r="FI71">
            <v>0</v>
          </cell>
          <cell r="FJ71">
            <v>0</v>
          </cell>
          <cell r="FK71" t="str">
            <v>nd</v>
          </cell>
          <cell r="FL71">
            <v>0</v>
          </cell>
          <cell r="FM71" t="str">
            <v>nd</v>
          </cell>
          <cell r="FN71">
            <v>30.5596076</v>
          </cell>
          <cell r="FO71">
            <v>0</v>
          </cell>
          <cell r="FP71">
            <v>0</v>
          </cell>
          <cell r="FQ71">
            <v>0</v>
          </cell>
          <cell r="FR71">
            <v>0</v>
          </cell>
          <cell r="FS71" t="str">
            <v>nd</v>
          </cell>
          <cell r="FT71">
            <v>16.079074500000001</v>
          </cell>
          <cell r="FU71">
            <v>0</v>
          </cell>
          <cell r="FV71">
            <v>0</v>
          </cell>
          <cell r="FW71">
            <v>0</v>
          </cell>
          <cell r="FX71">
            <v>0</v>
          </cell>
          <cell r="FY71">
            <v>0</v>
          </cell>
          <cell r="FZ71" t="str">
            <v>nd</v>
          </cell>
          <cell r="GA71">
            <v>7.4489764000000003</v>
          </cell>
          <cell r="GB71" t="str">
            <v>nd</v>
          </cell>
          <cell r="GC71" t="str">
            <v>nd</v>
          </cell>
          <cell r="GD71" t="str">
            <v>nd</v>
          </cell>
          <cell r="GE71">
            <v>2.7567699999999999</v>
          </cell>
          <cell r="GF71" t="str">
            <v>nd</v>
          </cell>
          <cell r="GG71" t="str">
            <v>nd</v>
          </cell>
          <cell r="GH71">
            <v>4.5226199999999999</v>
          </cell>
          <cell r="GI71">
            <v>6.7987254999999998</v>
          </cell>
          <cell r="GJ71">
            <v>7.3067304000000002</v>
          </cell>
          <cell r="GK71">
            <v>14.736817299999998</v>
          </cell>
          <cell r="GL71" t="str">
            <v>nd</v>
          </cell>
          <cell r="GM71" t="str">
            <v>nd</v>
          </cell>
          <cell r="GN71" t="str">
            <v>nd</v>
          </cell>
          <cell r="GO71" t="str">
            <v>nd</v>
          </cell>
          <cell r="GP71">
            <v>9.7355417000000006</v>
          </cell>
          <cell r="GQ71">
            <v>18.270428499999998</v>
          </cell>
          <cell r="GR71" t="str">
            <v>nd</v>
          </cell>
          <cell r="GS71" t="str">
            <v>nd</v>
          </cell>
          <cell r="GT71" t="str">
            <v>nd</v>
          </cell>
          <cell r="GU71" t="str">
            <v>nd</v>
          </cell>
          <cell r="GV71" t="str">
            <v>nd</v>
          </cell>
          <cell r="GW71">
            <v>10.1677543</v>
          </cell>
          <cell r="GX71">
            <v>0</v>
          </cell>
          <cell r="GY71">
            <v>0</v>
          </cell>
          <cell r="GZ71">
            <v>0</v>
          </cell>
          <cell r="HA71">
            <v>0</v>
          </cell>
          <cell r="HB71" t="str">
            <v>nd</v>
          </cell>
          <cell r="HC71">
            <v>0</v>
          </cell>
          <cell r="HD71">
            <v>0</v>
          </cell>
          <cell r="HE71">
            <v>2.7750599999999999</v>
          </cell>
          <cell r="HF71">
            <v>0</v>
          </cell>
          <cell r="HG71">
            <v>0</v>
          </cell>
          <cell r="HH71">
            <v>11.5977084</v>
          </cell>
          <cell r="HI71">
            <v>0</v>
          </cell>
          <cell r="HJ71">
            <v>0</v>
          </cell>
          <cell r="HK71">
            <v>0</v>
          </cell>
          <cell r="HL71" t="str">
            <v>nd</v>
          </cell>
          <cell r="HM71">
            <v>16.720386400000002</v>
          </cell>
          <cell r="HN71">
            <v>16.649510500000002</v>
          </cell>
          <cell r="HO71">
            <v>0</v>
          </cell>
          <cell r="HP71">
            <v>0</v>
          </cell>
          <cell r="HQ71">
            <v>0</v>
          </cell>
          <cell r="HR71">
            <v>0</v>
          </cell>
          <cell r="HS71">
            <v>6.6905418999999995</v>
          </cell>
          <cell r="HT71">
            <v>26.119321599999999</v>
          </cell>
          <cell r="HU71">
            <v>0</v>
          </cell>
          <cell r="HV71">
            <v>0</v>
          </cell>
          <cell r="HW71">
            <v>0</v>
          </cell>
          <cell r="HX71">
            <v>0</v>
          </cell>
          <cell r="HY71">
            <v>8.6024995000000004</v>
          </cell>
          <cell r="HZ71">
            <v>8.0845900999999998</v>
          </cell>
          <cell r="IA71">
            <v>0</v>
          </cell>
          <cell r="IB71">
            <v>0</v>
          </cell>
          <cell r="IC71">
            <v>0</v>
          </cell>
          <cell r="ID71">
            <v>0</v>
          </cell>
          <cell r="IE71" t="str">
            <v>nd</v>
          </cell>
          <cell r="IF71">
            <v>0</v>
          </cell>
          <cell r="IG71" t="str">
            <v>nd</v>
          </cell>
          <cell r="IH71" t="str">
            <v>nd</v>
          </cell>
          <cell r="II71">
            <v>0</v>
          </cell>
          <cell r="IJ71">
            <v>0</v>
          </cell>
          <cell r="IK71">
            <v>11.356127200000001</v>
          </cell>
          <cell r="IL71">
            <v>0</v>
          </cell>
          <cell r="IM71">
            <v>0</v>
          </cell>
          <cell r="IN71">
            <v>0</v>
          </cell>
          <cell r="IO71">
            <v>4.3445299999999998</v>
          </cell>
          <cell r="IP71">
            <v>7.0587495999999996</v>
          </cell>
          <cell r="IQ71">
            <v>24.395215799999999</v>
          </cell>
          <cell r="IR71">
            <v>0</v>
          </cell>
          <cell r="IS71" t="str">
            <v>nd</v>
          </cell>
          <cell r="IT71" t="str">
            <v>nd</v>
          </cell>
          <cell r="IU71" t="str">
            <v>nd</v>
          </cell>
          <cell r="IV71">
            <v>5.0647000000000002</v>
          </cell>
          <cell r="IW71">
            <v>22.7625852</v>
          </cell>
          <cell r="IX71">
            <v>0</v>
          </cell>
          <cell r="IY71">
            <v>0</v>
          </cell>
          <cell r="IZ71">
            <v>0</v>
          </cell>
          <cell r="JA71" t="str">
            <v>nd</v>
          </cell>
          <cell r="JB71">
            <v>5.1525799999999995</v>
          </cell>
          <cell r="JC71">
            <v>8.9732419999999991</v>
          </cell>
          <cell r="JD71">
            <v>0</v>
          </cell>
          <cell r="JE71">
            <v>0</v>
          </cell>
          <cell r="JF71">
            <v>0</v>
          </cell>
          <cell r="JG71">
            <v>0</v>
          </cell>
          <cell r="JH71">
            <v>0</v>
          </cell>
          <cell r="JI71" t="str">
            <v>nd</v>
          </cell>
          <cell r="JJ71">
            <v>0</v>
          </cell>
          <cell r="JK71">
            <v>0</v>
          </cell>
          <cell r="JL71">
            <v>0</v>
          </cell>
          <cell r="JM71">
            <v>0</v>
          </cell>
          <cell r="JN71">
            <v>13.5147253</v>
          </cell>
          <cell r="JO71">
            <v>0</v>
          </cell>
          <cell r="JP71">
            <v>0</v>
          </cell>
          <cell r="JQ71">
            <v>0</v>
          </cell>
          <cell r="JR71">
            <v>0</v>
          </cell>
          <cell r="JS71" t="str">
            <v>nd</v>
          </cell>
          <cell r="JT71">
            <v>34.2136712</v>
          </cell>
          <cell r="JU71">
            <v>0</v>
          </cell>
          <cell r="JV71">
            <v>0</v>
          </cell>
          <cell r="JW71">
            <v>0</v>
          </cell>
          <cell r="JX71">
            <v>0</v>
          </cell>
          <cell r="JY71" t="str">
            <v>nd</v>
          </cell>
          <cell r="JZ71">
            <v>32.228926999999999</v>
          </cell>
          <cell r="KA71">
            <v>0</v>
          </cell>
          <cell r="KB71">
            <v>0</v>
          </cell>
          <cell r="KC71">
            <v>0</v>
          </cell>
          <cell r="KD71">
            <v>0</v>
          </cell>
          <cell r="KE71">
            <v>0</v>
          </cell>
          <cell r="KF71">
            <v>16.504451700000001</v>
          </cell>
          <cell r="KG71">
            <v>0</v>
          </cell>
          <cell r="KH71">
            <v>0</v>
          </cell>
          <cell r="KI71">
            <v>0</v>
          </cell>
          <cell r="KJ71">
            <v>0</v>
          </cell>
          <cell r="KK71">
            <v>0</v>
          </cell>
          <cell r="KL71" t="str">
            <v>nd</v>
          </cell>
          <cell r="KM71">
            <v>69.699999999999989</v>
          </cell>
          <cell r="KN71">
            <v>2</v>
          </cell>
          <cell r="KO71">
            <v>20.200000000000003</v>
          </cell>
          <cell r="KP71">
            <v>3.2</v>
          </cell>
          <cell r="KQ71">
            <v>4.8</v>
          </cell>
          <cell r="KR71">
            <v>0.1</v>
          </cell>
          <cell r="KS71">
            <v>68.400000000000006</v>
          </cell>
          <cell r="KT71">
            <v>1.9</v>
          </cell>
          <cell r="KU71">
            <v>21</v>
          </cell>
          <cell r="KV71">
            <v>3.2</v>
          </cell>
          <cell r="KW71">
            <v>5.3</v>
          </cell>
          <cell r="KX71">
            <v>0.1</v>
          </cell>
          <cell r="KY71"/>
          <cell r="KZ71"/>
          <cell r="LA71"/>
          <cell r="LB71"/>
          <cell r="LC71"/>
          <cell r="LD71"/>
          <cell r="LE71"/>
          <cell r="LF71"/>
          <cell r="LG71"/>
          <cell r="LH71"/>
          <cell r="LI71"/>
          <cell r="LJ71"/>
          <cell r="LK71"/>
          <cell r="LL71"/>
          <cell r="LM71"/>
          <cell r="LN71"/>
          <cell r="LO71"/>
        </row>
        <row r="72">
          <cell r="A72" t="str">
            <v>2IZ</v>
          </cell>
          <cell r="B72" t="str">
            <v>72</v>
          </cell>
          <cell r="C72" t="str">
            <v>NAF 17</v>
          </cell>
          <cell r="D72" t="str">
            <v>IZ</v>
          </cell>
          <cell r="E72" t="str">
            <v>2</v>
          </cell>
          <cell r="F72">
            <v>10.199999999999999</v>
          </cell>
          <cell r="G72">
            <v>37.299999999999997</v>
          </cell>
          <cell r="H72">
            <v>45.5</v>
          </cell>
          <cell r="I72">
            <v>6.2</v>
          </cell>
          <cell r="J72" t="str">
            <v>nd</v>
          </cell>
          <cell r="K72">
            <v>44.7</v>
          </cell>
          <cell r="L72">
            <v>49.8</v>
          </cell>
          <cell r="M72">
            <v>3.9</v>
          </cell>
          <cell r="N72" t="str">
            <v>nd</v>
          </cell>
          <cell r="O72">
            <v>51.300000000000004</v>
          </cell>
          <cell r="P72">
            <v>37</v>
          </cell>
          <cell r="Q72">
            <v>5.7</v>
          </cell>
          <cell r="R72">
            <v>3.9</v>
          </cell>
          <cell r="S72">
            <v>6.3</v>
          </cell>
          <cell r="T72">
            <v>40.799999999999997</v>
          </cell>
          <cell r="U72">
            <v>15.9</v>
          </cell>
          <cell r="V72">
            <v>19.5</v>
          </cell>
          <cell r="W72">
            <v>33.700000000000003</v>
          </cell>
          <cell r="X72">
            <v>63.7</v>
          </cell>
          <cell r="Y72">
            <v>2.6</v>
          </cell>
          <cell r="Z72">
            <v>0</v>
          </cell>
          <cell r="AA72">
            <v>43.8</v>
          </cell>
          <cell r="AB72">
            <v>0</v>
          </cell>
          <cell r="AC72">
            <v>72.399999999999991</v>
          </cell>
          <cell r="AD72">
            <v>11.700000000000001</v>
          </cell>
          <cell r="AE72">
            <v>83.6</v>
          </cell>
          <cell r="AF72">
            <v>16.400000000000002</v>
          </cell>
          <cell r="AG72">
            <v>26.6</v>
          </cell>
          <cell r="AH72">
            <v>73.400000000000006</v>
          </cell>
          <cell r="AI72">
            <v>38</v>
          </cell>
          <cell r="AJ72">
            <v>41.5</v>
          </cell>
          <cell r="AK72">
            <v>4.2</v>
          </cell>
          <cell r="AL72">
            <v>6.9</v>
          </cell>
          <cell r="AM72">
            <v>9.3000000000000007</v>
          </cell>
          <cell r="AN72">
            <v>7.3999999999999995</v>
          </cell>
          <cell r="AO72" t="str">
            <v>nd</v>
          </cell>
          <cell r="AP72">
            <v>4.3</v>
          </cell>
          <cell r="AQ72">
            <v>82.899999999999991</v>
          </cell>
          <cell r="AR72">
            <v>4.1000000000000005</v>
          </cell>
          <cell r="AS72">
            <v>56.699999999999996</v>
          </cell>
          <cell r="AT72">
            <v>15</v>
          </cell>
          <cell r="AU72">
            <v>11.5</v>
          </cell>
          <cell r="AV72">
            <v>2.1</v>
          </cell>
          <cell r="AW72">
            <v>7.3999999999999995</v>
          </cell>
          <cell r="AX72">
            <v>7.1999999999999993</v>
          </cell>
          <cell r="AY72">
            <v>0</v>
          </cell>
          <cell r="AZ72">
            <v>0</v>
          </cell>
          <cell r="BA72">
            <v>0</v>
          </cell>
          <cell r="BB72" t="str">
            <v>nd</v>
          </cell>
          <cell r="BC72">
            <v>12.1</v>
          </cell>
          <cell r="BD72">
            <v>87.2</v>
          </cell>
          <cell r="BE72">
            <v>14.299999999999999</v>
          </cell>
          <cell r="BF72">
            <v>4.5999999999999996</v>
          </cell>
          <cell r="BG72">
            <v>12</v>
          </cell>
          <cell r="BH72">
            <v>10.5</v>
          </cell>
          <cell r="BI72">
            <v>19.600000000000001</v>
          </cell>
          <cell r="BJ72">
            <v>39</v>
          </cell>
          <cell r="BK72">
            <v>0</v>
          </cell>
          <cell r="BL72">
            <v>0</v>
          </cell>
          <cell r="BM72">
            <v>0</v>
          </cell>
          <cell r="BN72">
            <v>3.5000000000000004</v>
          </cell>
          <cell r="BO72">
            <v>51</v>
          </cell>
          <cell r="BP72">
            <v>45.5</v>
          </cell>
          <cell r="BQ72" t="str">
            <v>nd</v>
          </cell>
          <cell r="BR72">
            <v>0</v>
          </cell>
          <cell r="BS72">
            <v>0</v>
          </cell>
          <cell r="BT72">
            <v>17.100000000000001</v>
          </cell>
          <cell r="BU72">
            <v>45.1</v>
          </cell>
          <cell r="BV72">
            <v>37.299999999999997</v>
          </cell>
          <cell r="BW72">
            <v>0</v>
          </cell>
          <cell r="BX72">
            <v>0</v>
          </cell>
          <cell r="BY72">
            <v>0</v>
          </cell>
          <cell r="BZ72">
            <v>0</v>
          </cell>
          <cell r="CA72" t="str">
            <v>nd</v>
          </cell>
          <cell r="CB72">
            <v>97.7</v>
          </cell>
          <cell r="CC72">
            <v>2.2999999999999998</v>
          </cell>
          <cell r="CD72">
            <v>7.8</v>
          </cell>
          <cell r="CE72" t="str">
            <v>nd</v>
          </cell>
          <cell r="CF72" t="str">
            <v>nd</v>
          </cell>
          <cell r="CG72">
            <v>0</v>
          </cell>
          <cell r="CH72">
            <v>18.399999999999999</v>
          </cell>
          <cell r="CI72">
            <v>0</v>
          </cell>
          <cell r="CJ72">
            <v>75.099999999999994</v>
          </cell>
          <cell r="CK72">
            <v>18.2</v>
          </cell>
          <cell r="CL72" t="str">
            <v>nd</v>
          </cell>
          <cell r="CM72">
            <v>0</v>
          </cell>
          <cell r="CN72">
            <v>0</v>
          </cell>
          <cell r="CO72">
            <v>81.8</v>
          </cell>
          <cell r="CP72">
            <v>7.5</v>
          </cell>
          <cell r="CQ72">
            <v>22.400000000000002</v>
          </cell>
          <cell r="CR72">
            <v>35.299999999999997</v>
          </cell>
          <cell r="CS72">
            <v>34.799999999999997</v>
          </cell>
          <cell r="CT72">
            <v>65.900000000000006</v>
          </cell>
          <cell r="CU72">
            <v>34.1</v>
          </cell>
          <cell r="CV72">
            <v>30.099999999999998</v>
          </cell>
          <cell r="CW72">
            <v>69.899999999999991</v>
          </cell>
          <cell r="CX72">
            <v>42.4</v>
          </cell>
          <cell r="CY72">
            <v>14.000000000000002</v>
          </cell>
          <cell r="CZ72">
            <v>43.6</v>
          </cell>
          <cell r="DA72">
            <v>51.5</v>
          </cell>
          <cell r="DB72">
            <v>25.900000000000002</v>
          </cell>
          <cell r="DC72">
            <v>11.4</v>
          </cell>
          <cell r="DD72" t="str">
            <v>nd</v>
          </cell>
          <cell r="DE72">
            <v>30.9</v>
          </cell>
          <cell r="DF72">
            <v>1.9</v>
          </cell>
          <cell r="DG72">
            <v>4.5</v>
          </cell>
          <cell r="DH72">
            <v>12.9</v>
          </cell>
          <cell r="DI72">
            <v>12.3</v>
          </cell>
          <cell r="DJ72">
            <v>42.699999999999996</v>
          </cell>
          <cell r="DK72">
            <v>25.7</v>
          </cell>
          <cell r="DL72">
            <v>6.6000000000000005</v>
          </cell>
          <cell r="DM72">
            <v>51.6</v>
          </cell>
          <cell r="DN72">
            <v>5.2</v>
          </cell>
          <cell r="DO72">
            <v>44.800000000000004</v>
          </cell>
          <cell r="DP72">
            <v>4.7</v>
          </cell>
          <cell r="DQ72">
            <v>0</v>
          </cell>
          <cell r="DR72">
            <v>2.1</v>
          </cell>
          <cell r="DS72">
            <v>7.7</v>
          </cell>
          <cell r="DT72">
            <v>26.900000000000002</v>
          </cell>
          <cell r="DU72" t="str">
            <v>nd</v>
          </cell>
          <cell r="DV72">
            <v>2.9642399999999998</v>
          </cell>
          <cell r="DW72" t="str">
            <v>nd</v>
          </cell>
          <cell r="DX72">
            <v>0</v>
          </cell>
          <cell r="DY72">
            <v>3.3904700000000001</v>
          </cell>
          <cell r="DZ72">
            <v>17.093761299999997</v>
          </cell>
          <cell r="EA72">
            <v>6.6523514000000006</v>
          </cell>
          <cell r="EB72">
            <v>9.2417853000000001</v>
          </cell>
          <cell r="EC72">
            <v>2.11137</v>
          </cell>
          <cell r="ED72" t="str">
            <v>nd</v>
          </cell>
          <cell r="EE72" t="str">
            <v>nd</v>
          </cell>
          <cell r="EF72">
            <v>32.720548000000001</v>
          </cell>
          <cell r="EG72">
            <v>7.8672289000000006</v>
          </cell>
          <cell r="EH72" t="str">
            <v>nd</v>
          </cell>
          <cell r="EI72">
            <v>0</v>
          </cell>
          <cell r="EJ72" t="str">
            <v>nd</v>
          </cell>
          <cell r="EK72" t="str">
            <v>nd</v>
          </cell>
          <cell r="EL72">
            <v>5.4189699999999998</v>
          </cell>
          <cell r="EM72" t="str">
            <v>nd</v>
          </cell>
          <cell r="EN72">
            <v>0</v>
          </cell>
          <cell r="EO72">
            <v>0</v>
          </cell>
          <cell r="EP72" t="str">
            <v>nd</v>
          </cell>
          <cell r="EQ72">
            <v>0</v>
          </cell>
          <cell r="ER72" t="str">
            <v>nd</v>
          </cell>
          <cell r="ES72">
            <v>0</v>
          </cell>
          <cell r="ET72">
            <v>0</v>
          </cell>
          <cell r="EU72">
            <v>0</v>
          </cell>
          <cell r="EV72">
            <v>0</v>
          </cell>
          <cell r="EW72">
            <v>0</v>
          </cell>
          <cell r="EX72">
            <v>0</v>
          </cell>
          <cell r="EY72">
            <v>4.7925599999999999</v>
          </cell>
          <cell r="EZ72">
            <v>0</v>
          </cell>
          <cell r="FA72" t="str">
            <v>nd</v>
          </cell>
          <cell r="FB72">
            <v>5.2040600000000001</v>
          </cell>
          <cell r="FC72">
            <v>0</v>
          </cell>
          <cell r="FD72">
            <v>0</v>
          </cell>
          <cell r="FE72">
            <v>0</v>
          </cell>
          <cell r="FF72">
            <v>0</v>
          </cell>
          <cell r="FG72">
            <v>4.0682599999999995</v>
          </cell>
          <cell r="FH72">
            <v>33.0449093</v>
          </cell>
          <cell r="FI72">
            <v>0</v>
          </cell>
          <cell r="FJ72">
            <v>0</v>
          </cell>
          <cell r="FK72">
            <v>0</v>
          </cell>
          <cell r="FL72">
            <v>0</v>
          </cell>
          <cell r="FM72" t="str">
            <v>nd</v>
          </cell>
          <cell r="FN72">
            <v>45.586948500000005</v>
          </cell>
          <cell r="FO72">
            <v>0</v>
          </cell>
          <cell r="FP72">
            <v>0</v>
          </cell>
          <cell r="FQ72">
            <v>0</v>
          </cell>
          <cell r="FR72">
            <v>0</v>
          </cell>
          <cell r="FS72" t="str">
            <v>nd</v>
          </cell>
          <cell r="FT72">
            <v>2.56934</v>
          </cell>
          <cell r="FU72">
            <v>0</v>
          </cell>
          <cell r="FV72">
            <v>0</v>
          </cell>
          <cell r="FW72">
            <v>0</v>
          </cell>
          <cell r="FX72">
            <v>0</v>
          </cell>
          <cell r="FY72">
            <v>0</v>
          </cell>
          <cell r="FZ72" t="str">
            <v>nd</v>
          </cell>
          <cell r="GA72">
            <v>7.5190928000000001</v>
          </cell>
          <cell r="GB72">
            <v>0</v>
          </cell>
          <cell r="GC72" t="str">
            <v>nd</v>
          </cell>
          <cell r="GD72">
            <v>0</v>
          </cell>
          <cell r="GE72" t="str">
            <v>nd</v>
          </cell>
          <cell r="GF72">
            <v>4.4678299999999993</v>
          </cell>
          <cell r="GG72" t="str">
            <v>nd</v>
          </cell>
          <cell r="GH72">
            <v>9.6544375000000002</v>
          </cell>
          <cell r="GI72">
            <v>4.3693</v>
          </cell>
          <cell r="GJ72">
            <v>11.206334099999999</v>
          </cell>
          <cell r="GK72">
            <v>6.9717243999999994</v>
          </cell>
          <cell r="GL72" t="str">
            <v>nd</v>
          </cell>
          <cell r="GM72" t="str">
            <v>nd</v>
          </cell>
          <cell r="GN72" t="str">
            <v>nd</v>
          </cell>
          <cell r="GO72">
            <v>5.73942</v>
          </cell>
          <cell r="GP72">
            <v>7.8900827000000007</v>
          </cell>
          <cell r="GQ72">
            <v>27.480421700000001</v>
          </cell>
          <cell r="GR72">
            <v>0</v>
          </cell>
          <cell r="GS72">
            <v>0</v>
          </cell>
          <cell r="GT72">
            <v>0</v>
          </cell>
          <cell r="GU72" t="str">
            <v>nd</v>
          </cell>
          <cell r="GV72" t="str">
            <v>nd</v>
          </cell>
          <cell r="GW72">
            <v>2.9908700000000001</v>
          </cell>
          <cell r="GX72">
            <v>0</v>
          </cell>
          <cell r="GY72">
            <v>0</v>
          </cell>
          <cell r="GZ72">
            <v>0</v>
          </cell>
          <cell r="HA72">
            <v>0</v>
          </cell>
          <cell r="HB72">
            <v>0</v>
          </cell>
          <cell r="HC72" t="str">
            <v>nd</v>
          </cell>
          <cell r="HD72">
            <v>0</v>
          </cell>
          <cell r="HE72">
            <v>5.8282300000000005</v>
          </cell>
          <cell r="HF72">
            <v>0</v>
          </cell>
          <cell r="HG72">
            <v>0</v>
          </cell>
          <cell r="HH72">
            <v>3.6112400000000004</v>
          </cell>
          <cell r="HI72">
            <v>0</v>
          </cell>
          <cell r="HJ72">
            <v>0</v>
          </cell>
          <cell r="HK72">
            <v>0</v>
          </cell>
          <cell r="HL72" t="str">
            <v>nd</v>
          </cell>
          <cell r="HM72">
            <v>18.643631599999999</v>
          </cell>
          <cell r="HN72">
            <v>19.810710499999999</v>
          </cell>
          <cell r="HO72">
            <v>0</v>
          </cell>
          <cell r="HP72">
            <v>0</v>
          </cell>
          <cell r="HQ72">
            <v>0</v>
          </cell>
          <cell r="HR72" t="str">
            <v>nd</v>
          </cell>
          <cell r="HS72">
            <v>20.734978600000002</v>
          </cell>
          <cell r="HT72">
            <v>20.853389199999999</v>
          </cell>
          <cell r="HU72">
            <v>0</v>
          </cell>
          <cell r="HV72">
            <v>0</v>
          </cell>
          <cell r="HW72">
            <v>0</v>
          </cell>
          <cell r="HX72">
            <v>0</v>
          </cell>
          <cell r="HY72">
            <v>5.8094899999999994</v>
          </cell>
          <cell r="HZ72" t="str">
            <v>nd</v>
          </cell>
          <cell r="IA72">
            <v>0</v>
          </cell>
          <cell r="IB72">
            <v>0</v>
          </cell>
          <cell r="IC72">
            <v>0</v>
          </cell>
          <cell r="ID72" t="str">
            <v>nd</v>
          </cell>
          <cell r="IE72">
            <v>0</v>
          </cell>
          <cell r="IF72">
            <v>0</v>
          </cell>
          <cell r="IG72" t="str">
            <v>nd</v>
          </cell>
          <cell r="IH72" t="str">
            <v>nd</v>
          </cell>
          <cell r="II72">
            <v>0</v>
          </cell>
          <cell r="IJ72" t="str">
            <v>nd</v>
          </cell>
          <cell r="IK72">
            <v>6.0856000000000003</v>
          </cell>
          <cell r="IL72">
            <v>0</v>
          </cell>
          <cell r="IM72">
            <v>0</v>
          </cell>
          <cell r="IN72">
            <v>0</v>
          </cell>
          <cell r="IO72">
            <v>9.2830930000000009</v>
          </cell>
          <cell r="IP72">
            <v>15.729189199999999</v>
          </cell>
          <cell r="IQ72">
            <v>13.668075900000002</v>
          </cell>
          <cell r="IR72">
            <v>0</v>
          </cell>
          <cell r="IS72">
            <v>0</v>
          </cell>
          <cell r="IT72">
            <v>0</v>
          </cell>
          <cell r="IU72">
            <v>6.3569313000000003</v>
          </cell>
          <cell r="IV72">
            <v>23.3422649</v>
          </cell>
          <cell r="IW72">
            <v>16.302731900000001</v>
          </cell>
          <cell r="IX72">
            <v>0</v>
          </cell>
          <cell r="IY72">
            <v>0</v>
          </cell>
          <cell r="IZ72">
            <v>0</v>
          </cell>
          <cell r="JA72">
            <v>0</v>
          </cell>
          <cell r="JB72">
            <v>3.8420200000000002</v>
          </cell>
          <cell r="JC72" t="str">
            <v>nd</v>
          </cell>
          <cell r="JD72">
            <v>0</v>
          </cell>
          <cell r="JE72">
            <v>0</v>
          </cell>
          <cell r="JF72">
            <v>0</v>
          </cell>
          <cell r="JG72">
            <v>0</v>
          </cell>
          <cell r="JH72" t="str">
            <v>nd</v>
          </cell>
          <cell r="JI72">
            <v>0</v>
          </cell>
          <cell r="JJ72">
            <v>0</v>
          </cell>
          <cell r="JK72">
            <v>0</v>
          </cell>
          <cell r="JL72">
            <v>0</v>
          </cell>
          <cell r="JM72">
            <v>0</v>
          </cell>
          <cell r="JN72">
            <v>9.5138781000000012</v>
          </cell>
          <cell r="JO72">
            <v>0</v>
          </cell>
          <cell r="JP72">
            <v>0</v>
          </cell>
          <cell r="JQ72">
            <v>0</v>
          </cell>
          <cell r="JR72">
            <v>0</v>
          </cell>
          <cell r="JS72">
            <v>0</v>
          </cell>
          <cell r="JT72">
            <v>39.294952000000002</v>
          </cell>
          <cell r="JU72">
            <v>0</v>
          </cell>
          <cell r="JV72">
            <v>0</v>
          </cell>
          <cell r="JW72">
            <v>0</v>
          </cell>
          <cell r="JX72">
            <v>0</v>
          </cell>
          <cell r="JY72" t="str">
            <v>nd</v>
          </cell>
          <cell r="JZ72">
            <v>43.999245500000001</v>
          </cell>
          <cell r="KA72">
            <v>0</v>
          </cell>
          <cell r="KB72">
            <v>0</v>
          </cell>
          <cell r="KC72">
            <v>0</v>
          </cell>
          <cell r="KD72">
            <v>0</v>
          </cell>
          <cell r="KE72">
            <v>0</v>
          </cell>
          <cell r="KF72">
            <v>4.0799000000000003</v>
          </cell>
          <cell r="KG72">
            <v>0</v>
          </cell>
          <cell r="KH72">
            <v>0</v>
          </cell>
          <cell r="KI72">
            <v>0</v>
          </cell>
          <cell r="KJ72">
            <v>0</v>
          </cell>
          <cell r="KK72">
            <v>0</v>
          </cell>
          <cell r="KL72" t="str">
            <v>nd</v>
          </cell>
          <cell r="KM72">
            <v>66.8</v>
          </cell>
          <cell r="KN72">
            <v>0.89999999999999991</v>
          </cell>
          <cell r="KO72">
            <v>23.599999999999998</v>
          </cell>
          <cell r="KP72">
            <v>3.3000000000000003</v>
          </cell>
          <cell r="KQ72">
            <v>5.2</v>
          </cell>
          <cell r="KR72">
            <v>0.1</v>
          </cell>
          <cell r="KS72">
            <v>65.2</v>
          </cell>
          <cell r="KT72">
            <v>1</v>
          </cell>
          <cell r="KU72">
            <v>23.7</v>
          </cell>
          <cell r="KV72">
            <v>3.5999999999999996</v>
          </cell>
          <cell r="KW72">
            <v>6.5</v>
          </cell>
          <cell r="KX72">
            <v>0.1</v>
          </cell>
          <cell r="KY72"/>
          <cell r="KZ72"/>
          <cell r="LA72"/>
          <cell r="LB72"/>
          <cell r="LC72"/>
          <cell r="LD72"/>
          <cell r="LE72"/>
          <cell r="LF72"/>
          <cell r="LG72"/>
          <cell r="LH72"/>
          <cell r="LI72"/>
          <cell r="LJ72"/>
          <cell r="LK72"/>
          <cell r="LL72"/>
          <cell r="LM72"/>
          <cell r="LN72"/>
          <cell r="LO72"/>
        </row>
        <row r="73">
          <cell r="A73" t="str">
            <v>3IZ</v>
          </cell>
          <cell r="B73" t="str">
            <v>73</v>
          </cell>
          <cell r="C73" t="str">
            <v>NAF 17</v>
          </cell>
          <cell r="D73" t="str">
            <v>IZ</v>
          </cell>
          <cell r="E73" t="str">
            <v>3</v>
          </cell>
          <cell r="F73">
            <v>12.3</v>
          </cell>
          <cell r="G73">
            <v>27.3</v>
          </cell>
          <cell r="H73">
            <v>40.6</v>
          </cell>
          <cell r="I73">
            <v>13</v>
          </cell>
          <cell r="J73">
            <v>6.8000000000000007</v>
          </cell>
          <cell r="K73">
            <v>60.099999999999994</v>
          </cell>
          <cell r="L73">
            <v>31.4</v>
          </cell>
          <cell r="M73" t="str">
            <v>nd</v>
          </cell>
          <cell r="N73" t="str">
            <v>nd</v>
          </cell>
          <cell r="O73">
            <v>48</v>
          </cell>
          <cell r="P73">
            <v>33.800000000000004</v>
          </cell>
          <cell r="Q73">
            <v>6.2</v>
          </cell>
          <cell r="R73" t="str">
            <v>nd</v>
          </cell>
          <cell r="S73">
            <v>2.7</v>
          </cell>
          <cell r="T73">
            <v>39.200000000000003</v>
          </cell>
          <cell r="U73">
            <v>9.9</v>
          </cell>
          <cell r="V73">
            <v>29.2</v>
          </cell>
          <cell r="W73">
            <v>36</v>
          </cell>
          <cell r="X73">
            <v>56.2</v>
          </cell>
          <cell r="Y73">
            <v>7.8</v>
          </cell>
          <cell r="Z73" t="str">
            <v>nd</v>
          </cell>
          <cell r="AA73">
            <v>36.1</v>
          </cell>
          <cell r="AB73" t="str">
            <v>nd</v>
          </cell>
          <cell r="AC73">
            <v>75.5</v>
          </cell>
          <cell r="AD73">
            <v>19.7</v>
          </cell>
          <cell r="AE73">
            <v>79</v>
          </cell>
          <cell r="AF73">
            <v>21</v>
          </cell>
          <cell r="AG73">
            <v>34.1</v>
          </cell>
          <cell r="AH73">
            <v>65.900000000000006</v>
          </cell>
          <cell r="AI73">
            <v>45.2</v>
          </cell>
          <cell r="AJ73">
            <v>33.200000000000003</v>
          </cell>
          <cell r="AK73">
            <v>5.3</v>
          </cell>
          <cell r="AL73">
            <v>12.1</v>
          </cell>
          <cell r="AM73">
            <v>4.2</v>
          </cell>
          <cell r="AN73">
            <v>11.3</v>
          </cell>
          <cell r="AO73">
            <v>3.2</v>
          </cell>
          <cell r="AP73" t="str">
            <v>nd</v>
          </cell>
          <cell r="AQ73">
            <v>77.7</v>
          </cell>
          <cell r="AR73">
            <v>3.9</v>
          </cell>
          <cell r="AS73">
            <v>64.400000000000006</v>
          </cell>
          <cell r="AT73">
            <v>12.9</v>
          </cell>
          <cell r="AU73" t="str">
            <v>nd</v>
          </cell>
          <cell r="AV73">
            <v>5.4</v>
          </cell>
          <cell r="AW73">
            <v>6.6000000000000005</v>
          </cell>
          <cell r="AX73">
            <v>5.7</v>
          </cell>
          <cell r="AY73">
            <v>0</v>
          </cell>
          <cell r="AZ73" t="str">
            <v>nd</v>
          </cell>
          <cell r="BA73" t="str">
            <v>nd</v>
          </cell>
          <cell r="BB73" t="str">
            <v>nd</v>
          </cell>
          <cell r="BC73">
            <v>16.600000000000001</v>
          </cell>
          <cell r="BD73">
            <v>76.5</v>
          </cell>
          <cell r="BE73">
            <v>9.1</v>
          </cell>
          <cell r="BF73">
            <v>5.7</v>
          </cell>
          <cell r="BG73">
            <v>3.5999999999999996</v>
          </cell>
          <cell r="BH73">
            <v>9.4</v>
          </cell>
          <cell r="BI73">
            <v>31.2</v>
          </cell>
          <cell r="BJ73">
            <v>41</v>
          </cell>
          <cell r="BK73">
            <v>0</v>
          </cell>
          <cell r="BL73">
            <v>0</v>
          </cell>
          <cell r="BM73">
            <v>0</v>
          </cell>
          <cell r="BN73">
            <v>2.5</v>
          </cell>
          <cell r="BO73">
            <v>71</v>
          </cell>
          <cell r="BP73">
            <v>26.5</v>
          </cell>
          <cell r="BQ73" t="str">
            <v>nd</v>
          </cell>
          <cell r="BR73">
            <v>0</v>
          </cell>
          <cell r="BS73" t="str">
            <v>nd</v>
          </cell>
          <cell r="BT73">
            <v>10.7</v>
          </cell>
          <cell r="BU73">
            <v>57.999999999999993</v>
          </cell>
          <cell r="BV73">
            <v>29.4</v>
          </cell>
          <cell r="BW73">
            <v>0</v>
          </cell>
          <cell r="BX73">
            <v>0</v>
          </cell>
          <cell r="BY73">
            <v>0</v>
          </cell>
          <cell r="BZ73">
            <v>0</v>
          </cell>
          <cell r="CA73">
            <v>0</v>
          </cell>
          <cell r="CB73">
            <v>100</v>
          </cell>
          <cell r="CC73">
            <v>4.1000000000000005</v>
          </cell>
          <cell r="CD73">
            <v>8.2000000000000011</v>
          </cell>
          <cell r="CE73" t="str">
            <v>nd</v>
          </cell>
          <cell r="CF73" t="str">
            <v>nd</v>
          </cell>
          <cell r="CG73">
            <v>0</v>
          </cell>
          <cell r="CH73">
            <v>23</v>
          </cell>
          <cell r="CI73">
            <v>6.6000000000000005</v>
          </cell>
          <cell r="CJ73">
            <v>70.399999999999991</v>
          </cell>
          <cell r="CK73">
            <v>17.399999999999999</v>
          </cell>
          <cell r="CL73" t="str">
            <v>nd</v>
          </cell>
          <cell r="CM73">
            <v>0</v>
          </cell>
          <cell r="CN73" t="str">
            <v>nd</v>
          </cell>
          <cell r="CO73">
            <v>80.7</v>
          </cell>
          <cell r="CP73">
            <v>2.1</v>
          </cell>
          <cell r="CQ73">
            <v>31.8</v>
          </cell>
          <cell r="CR73">
            <v>35.5</v>
          </cell>
          <cell r="CS73">
            <v>30.599999999999998</v>
          </cell>
          <cell r="CT73">
            <v>62.5</v>
          </cell>
          <cell r="CU73">
            <v>37.5</v>
          </cell>
          <cell r="CV73">
            <v>34.4</v>
          </cell>
          <cell r="CW73">
            <v>65.600000000000009</v>
          </cell>
          <cell r="CX73">
            <v>46</v>
          </cell>
          <cell r="CY73">
            <v>20.599999999999998</v>
          </cell>
          <cell r="CZ73">
            <v>33.4</v>
          </cell>
          <cell r="DA73">
            <v>57.3</v>
          </cell>
          <cell r="DB73">
            <v>20.3</v>
          </cell>
          <cell r="DC73">
            <v>35.5</v>
          </cell>
          <cell r="DD73" t="str">
            <v>nd</v>
          </cell>
          <cell r="DE73">
            <v>27.500000000000004</v>
          </cell>
          <cell r="DF73">
            <v>5.0999999999999996</v>
          </cell>
          <cell r="DG73" t="str">
            <v>nd</v>
          </cell>
          <cell r="DH73">
            <v>17</v>
          </cell>
          <cell r="DI73">
            <v>11.600000000000001</v>
          </cell>
          <cell r="DJ73">
            <v>38.5</v>
          </cell>
          <cell r="DK73">
            <v>26.200000000000003</v>
          </cell>
          <cell r="DL73">
            <v>8.3000000000000007</v>
          </cell>
          <cell r="DM73">
            <v>46.6</v>
          </cell>
          <cell r="DN73">
            <v>6.2</v>
          </cell>
          <cell r="DO73">
            <v>45.6</v>
          </cell>
          <cell r="DP73">
            <v>6.6000000000000005</v>
          </cell>
          <cell r="DQ73" t="str">
            <v>nd</v>
          </cell>
          <cell r="DR73">
            <v>5.2</v>
          </cell>
          <cell r="DS73">
            <v>11.899999999999999</v>
          </cell>
          <cell r="DT73">
            <v>26.900000000000002</v>
          </cell>
          <cell r="DU73">
            <v>2.66961</v>
          </cell>
          <cell r="DV73">
            <v>6.0400299999999998</v>
          </cell>
          <cell r="DW73">
            <v>0</v>
          </cell>
          <cell r="DX73" t="str">
            <v>nd</v>
          </cell>
          <cell r="DY73">
            <v>0</v>
          </cell>
          <cell r="DZ73">
            <v>13.6941226</v>
          </cell>
          <cell r="EA73">
            <v>6.6692742999999997</v>
          </cell>
          <cell r="EB73" t="str">
            <v>nd</v>
          </cell>
          <cell r="EC73">
            <v>3.7869199999999998</v>
          </cell>
          <cell r="ED73" t="str">
            <v>nd</v>
          </cell>
          <cell r="EE73" t="str">
            <v>nd</v>
          </cell>
          <cell r="EF73">
            <v>34.3303449</v>
          </cell>
          <cell r="EG73" t="str">
            <v>nd</v>
          </cell>
          <cell r="EH73">
            <v>0</v>
          </cell>
          <cell r="EI73" t="str">
            <v>nd</v>
          </cell>
          <cell r="EJ73">
            <v>0</v>
          </cell>
          <cell r="EK73">
            <v>2.7817600000000002</v>
          </cell>
          <cell r="EL73">
            <v>10.5936454</v>
          </cell>
          <cell r="EM73" t="str">
            <v>nd</v>
          </cell>
          <cell r="EN73">
            <v>0</v>
          </cell>
          <cell r="EO73">
            <v>0</v>
          </cell>
          <cell r="EP73">
            <v>0</v>
          </cell>
          <cell r="EQ73" t="str">
            <v>nd</v>
          </cell>
          <cell r="ER73" t="str">
            <v>nd</v>
          </cell>
          <cell r="ES73">
            <v>0</v>
          </cell>
          <cell r="ET73" t="str">
            <v>nd</v>
          </cell>
          <cell r="EU73">
            <v>0</v>
          </cell>
          <cell r="EV73">
            <v>0</v>
          </cell>
          <cell r="EW73">
            <v>0</v>
          </cell>
          <cell r="EX73">
            <v>0</v>
          </cell>
          <cell r="EY73">
            <v>4.7123499999999998</v>
          </cell>
          <cell r="EZ73">
            <v>0</v>
          </cell>
          <cell r="FA73" t="str">
            <v>nd</v>
          </cell>
          <cell r="FB73">
            <v>5.1830099999999995</v>
          </cell>
          <cell r="FC73">
            <v>0</v>
          </cell>
          <cell r="FD73" t="str">
            <v>nd</v>
          </cell>
          <cell r="FE73">
            <v>0</v>
          </cell>
          <cell r="FF73">
            <v>0</v>
          </cell>
          <cell r="FG73">
            <v>9.7057371000000003</v>
          </cell>
          <cell r="FH73">
            <v>17.487198800000002</v>
          </cell>
          <cell r="FI73">
            <v>0</v>
          </cell>
          <cell r="FJ73" t="str">
            <v>nd</v>
          </cell>
          <cell r="FK73">
            <v>0</v>
          </cell>
          <cell r="FL73">
            <v>0</v>
          </cell>
          <cell r="FM73" t="str">
            <v>nd</v>
          </cell>
          <cell r="FN73">
            <v>37.314147499999997</v>
          </cell>
          <cell r="FO73">
            <v>0</v>
          </cell>
          <cell r="FP73">
            <v>0</v>
          </cell>
          <cell r="FQ73">
            <v>0</v>
          </cell>
          <cell r="FR73">
            <v>0</v>
          </cell>
          <cell r="FS73">
            <v>0</v>
          </cell>
          <cell r="FT73">
            <v>13.136584000000001</v>
          </cell>
          <cell r="FU73">
            <v>0</v>
          </cell>
          <cell r="FV73">
            <v>0</v>
          </cell>
          <cell r="FW73" t="str">
            <v>nd</v>
          </cell>
          <cell r="FX73">
            <v>0</v>
          </cell>
          <cell r="FY73">
            <v>0</v>
          </cell>
          <cell r="FZ73" t="str">
            <v>nd</v>
          </cell>
          <cell r="GA73">
            <v>6.3734294999999994</v>
          </cell>
          <cell r="GB73">
            <v>0</v>
          </cell>
          <cell r="GC73">
            <v>0</v>
          </cell>
          <cell r="GD73" t="str">
            <v>nd</v>
          </cell>
          <cell r="GE73" t="str">
            <v>nd</v>
          </cell>
          <cell r="GF73">
            <v>1.93207</v>
          </cell>
          <cell r="GG73" t="str">
            <v>nd</v>
          </cell>
          <cell r="GH73">
            <v>2.8519399999999999</v>
          </cell>
          <cell r="GI73">
            <v>4.6187500000000004</v>
          </cell>
          <cell r="GJ73">
            <v>10.535256799999999</v>
          </cell>
          <cell r="GK73">
            <v>6.7201689999999994</v>
          </cell>
          <cell r="GL73">
            <v>0</v>
          </cell>
          <cell r="GM73" t="str">
            <v>nd</v>
          </cell>
          <cell r="GN73" t="str">
            <v>nd</v>
          </cell>
          <cell r="GO73">
            <v>3.6656900000000001</v>
          </cell>
          <cell r="GP73">
            <v>15.1953289</v>
          </cell>
          <cell r="GQ73">
            <v>19.927146400000002</v>
          </cell>
          <cell r="GR73" t="str">
            <v>nd</v>
          </cell>
          <cell r="GS73">
            <v>0</v>
          </cell>
          <cell r="GT73">
            <v>0</v>
          </cell>
          <cell r="GU73">
            <v>0</v>
          </cell>
          <cell r="GV73">
            <v>4.3732600000000001</v>
          </cell>
          <cell r="GW73">
            <v>7.7400538000000001</v>
          </cell>
          <cell r="GX73">
            <v>0</v>
          </cell>
          <cell r="GY73">
            <v>0</v>
          </cell>
          <cell r="GZ73">
            <v>0</v>
          </cell>
          <cell r="HA73">
            <v>0</v>
          </cell>
          <cell r="HB73" t="str">
            <v>nd</v>
          </cell>
          <cell r="HC73" t="str">
            <v>nd</v>
          </cell>
          <cell r="HD73">
            <v>0</v>
          </cell>
          <cell r="HE73">
            <v>3.6538099999999996</v>
          </cell>
          <cell r="HF73">
            <v>0</v>
          </cell>
          <cell r="HG73">
            <v>0</v>
          </cell>
          <cell r="HH73">
            <v>7.9948515999999996</v>
          </cell>
          <cell r="HI73">
            <v>0</v>
          </cell>
          <cell r="HJ73">
            <v>0</v>
          </cell>
          <cell r="HK73">
            <v>0</v>
          </cell>
          <cell r="HL73">
            <v>0</v>
          </cell>
          <cell r="HM73">
            <v>17.189673899999999</v>
          </cell>
          <cell r="HN73">
            <v>10.613314300000001</v>
          </cell>
          <cell r="HO73">
            <v>0</v>
          </cell>
          <cell r="HP73">
            <v>0</v>
          </cell>
          <cell r="HQ73">
            <v>0</v>
          </cell>
          <cell r="HR73">
            <v>2.5470900000000003</v>
          </cell>
          <cell r="HS73">
            <v>31.696927299999999</v>
          </cell>
          <cell r="HT73">
            <v>6.3168073000000007</v>
          </cell>
          <cell r="HU73">
            <v>0</v>
          </cell>
          <cell r="HV73">
            <v>0</v>
          </cell>
          <cell r="HW73">
            <v>0</v>
          </cell>
          <cell r="HX73">
            <v>0</v>
          </cell>
          <cell r="HY73">
            <v>11.324142700000001</v>
          </cell>
          <cell r="HZ73" t="str">
            <v>nd</v>
          </cell>
          <cell r="IA73">
            <v>0</v>
          </cell>
          <cell r="IB73">
            <v>0</v>
          </cell>
          <cell r="IC73">
            <v>0</v>
          </cell>
          <cell r="ID73">
            <v>0</v>
          </cell>
          <cell r="IE73">
            <v>7.1086676999999998</v>
          </cell>
          <cell r="IF73">
            <v>0</v>
          </cell>
          <cell r="IG73">
            <v>0</v>
          </cell>
          <cell r="IH73">
            <v>5.1577900000000003</v>
          </cell>
          <cell r="II73">
            <v>0</v>
          </cell>
          <cell r="IJ73">
            <v>0</v>
          </cell>
          <cell r="IK73">
            <v>7.0943145000000003</v>
          </cell>
          <cell r="IL73">
            <v>0</v>
          </cell>
          <cell r="IM73">
            <v>0</v>
          </cell>
          <cell r="IN73">
            <v>0</v>
          </cell>
          <cell r="IO73">
            <v>3.5563900000000004</v>
          </cell>
          <cell r="IP73">
            <v>15.396370000000001</v>
          </cell>
          <cell r="IQ73">
            <v>8.4604789</v>
          </cell>
          <cell r="IR73" t="str">
            <v>nd</v>
          </cell>
          <cell r="IS73">
            <v>0</v>
          </cell>
          <cell r="IT73" t="str">
            <v>nd</v>
          </cell>
          <cell r="IU73">
            <v>6.3799228000000001</v>
          </cell>
          <cell r="IV73">
            <v>21.555527699999999</v>
          </cell>
          <cell r="IW73">
            <v>10.567883399999999</v>
          </cell>
          <cell r="IX73">
            <v>0</v>
          </cell>
          <cell r="IY73">
            <v>0</v>
          </cell>
          <cell r="IZ73">
            <v>0</v>
          </cell>
          <cell r="JA73" t="str">
            <v>nd</v>
          </cell>
          <cell r="JB73">
            <v>8.8112354000000011</v>
          </cell>
          <cell r="JC73">
            <v>3.2837400000000003</v>
          </cell>
          <cell r="JD73">
            <v>0</v>
          </cell>
          <cell r="JE73">
            <v>0</v>
          </cell>
          <cell r="JF73">
            <v>0</v>
          </cell>
          <cell r="JG73">
            <v>0</v>
          </cell>
          <cell r="JH73">
            <v>7.0798553000000002</v>
          </cell>
          <cell r="JI73">
            <v>0</v>
          </cell>
          <cell r="JJ73">
            <v>0</v>
          </cell>
          <cell r="JK73">
            <v>0</v>
          </cell>
          <cell r="JL73">
            <v>0</v>
          </cell>
          <cell r="JM73">
            <v>0</v>
          </cell>
          <cell r="JN73">
            <v>12.270227999999999</v>
          </cell>
          <cell r="JO73">
            <v>0</v>
          </cell>
          <cell r="JP73">
            <v>0</v>
          </cell>
          <cell r="JQ73">
            <v>0</v>
          </cell>
          <cell r="JR73">
            <v>0</v>
          </cell>
          <cell r="JS73">
            <v>0</v>
          </cell>
          <cell r="JT73">
            <v>27.468824600000001</v>
          </cell>
          <cell r="JU73">
            <v>0</v>
          </cell>
          <cell r="JV73">
            <v>0</v>
          </cell>
          <cell r="JW73">
            <v>0</v>
          </cell>
          <cell r="JX73">
            <v>0</v>
          </cell>
          <cell r="JY73">
            <v>0</v>
          </cell>
          <cell r="JZ73">
            <v>40.166238399999997</v>
          </cell>
          <cell r="KA73">
            <v>0</v>
          </cell>
          <cell r="KB73">
            <v>0</v>
          </cell>
          <cell r="KC73">
            <v>0</v>
          </cell>
          <cell r="KD73">
            <v>0</v>
          </cell>
          <cell r="KE73">
            <v>0</v>
          </cell>
          <cell r="KF73">
            <v>13.060222899999999</v>
          </cell>
          <cell r="KG73">
            <v>0</v>
          </cell>
          <cell r="KH73">
            <v>0</v>
          </cell>
          <cell r="KI73">
            <v>0</v>
          </cell>
          <cell r="KJ73">
            <v>0</v>
          </cell>
          <cell r="KK73">
            <v>0</v>
          </cell>
          <cell r="KL73">
            <v>7.0344860999999996</v>
          </cell>
          <cell r="KM73">
            <v>68.5</v>
          </cell>
          <cell r="KN73">
            <v>3.4000000000000004</v>
          </cell>
          <cell r="KO73">
            <v>16.8</v>
          </cell>
          <cell r="KP73">
            <v>4.3999999999999995</v>
          </cell>
          <cell r="KQ73">
            <v>6.8000000000000007</v>
          </cell>
          <cell r="KR73">
            <v>0</v>
          </cell>
          <cell r="KS73">
            <v>68</v>
          </cell>
          <cell r="KT73">
            <v>3.4000000000000004</v>
          </cell>
          <cell r="KU73">
            <v>16.8</v>
          </cell>
          <cell r="KV73">
            <v>4.5</v>
          </cell>
          <cell r="KW73">
            <v>7.3999999999999995</v>
          </cell>
          <cell r="KX73">
            <v>0</v>
          </cell>
          <cell r="KY73"/>
          <cell r="KZ73"/>
          <cell r="LA73"/>
          <cell r="LB73"/>
          <cell r="LC73"/>
          <cell r="LD73"/>
          <cell r="LE73"/>
          <cell r="LF73"/>
          <cell r="LG73"/>
          <cell r="LH73"/>
          <cell r="LI73"/>
          <cell r="LJ73"/>
          <cell r="LK73"/>
          <cell r="LL73"/>
          <cell r="LM73"/>
          <cell r="LN73"/>
          <cell r="LO73"/>
        </row>
        <row r="74">
          <cell r="A74" t="str">
            <v>4IZ</v>
          </cell>
          <cell r="B74" t="str">
            <v>74</v>
          </cell>
          <cell r="C74" t="str">
            <v>NAF 17</v>
          </cell>
          <cell r="D74" t="str">
            <v>IZ</v>
          </cell>
          <cell r="E74" t="str">
            <v>4</v>
          </cell>
          <cell r="F74">
            <v>28.799999999999997</v>
          </cell>
          <cell r="G74">
            <v>22.2</v>
          </cell>
          <cell r="H74">
            <v>34.1</v>
          </cell>
          <cell r="I74">
            <v>11.600000000000001</v>
          </cell>
          <cell r="J74" t="str">
            <v>nd</v>
          </cell>
          <cell r="K74">
            <v>42.3</v>
          </cell>
          <cell r="L74">
            <v>51.800000000000004</v>
          </cell>
          <cell r="M74" t="str">
            <v>nd</v>
          </cell>
          <cell r="N74" t="str">
            <v>nd</v>
          </cell>
          <cell r="O74">
            <v>74</v>
          </cell>
          <cell r="P74">
            <v>34.5</v>
          </cell>
          <cell r="Q74">
            <v>21.2</v>
          </cell>
          <cell r="R74">
            <v>10.4</v>
          </cell>
          <cell r="S74">
            <v>12</v>
          </cell>
          <cell r="T74">
            <v>26.900000000000002</v>
          </cell>
          <cell r="U74">
            <v>30.599999999999998</v>
          </cell>
          <cell r="V74">
            <v>16.900000000000002</v>
          </cell>
          <cell r="W74">
            <v>45.5</v>
          </cell>
          <cell r="X74">
            <v>52.900000000000006</v>
          </cell>
          <cell r="Y74" t="str">
            <v>nd</v>
          </cell>
          <cell r="Z74">
            <v>0</v>
          </cell>
          <cell r="AA74">
            <v>43.1</v>
          </cell>
          <cell r="AB74">
            <v>0</v>
          </cell>
          <cell r="AC74">
            <v>79.400000000000006</v>
          </cell>
          <cell r="AD74">
            <v>21.2</v>
          </cell>
          <cell r="AE74">
            <v>87.9</v>
          </cell>
          <cell r="AF74">
            <v>12.1</v>
          </cell>
          <cell r="AG74">
            <v>37.9</v>
          </cell>
          <cell r="AH74">
            <v>62.1</v>
          </cell>
          <cell r="AI74">
            <v>37</v>
          </cell>
          <cell r="AJ74">
            <v>36.799999999999997</v>
          </cell>
          <cell r="AK74">
            <v>11.600000000000001</v>
          </cell>
          <cell r="AL74" t="str">
            <v>nd</v>
          </cell>
          <cell r="AM74">
            <v>13.900000000000002</v>
          </cell>
          <cell r="AN74">
            <v>16.7</v>
          </cell>
          <cell r="AO74">
            <v>14.399999999999999</v>
          </cell>
          <cell r="AP74">
            <v>0</v>
          </cell>
          <cell r="AQ74">
            <v>60.6</v>
          </cell>
          <cell r="AR74" t="str">
            <v>nd</v>
          </cell>
          <cell r="AS74">
            <v>41</v>
          </cell>
          <cell r="AT74">
            <v>16.3</v>
          </cell>
          <cell r="AU74">
            <v>0</v>
          </cell>
          <cell r="AV74">
            <v>15.6</v>
          </cell>
          <cell r="AW74">
            <v>22.400000000000002</v>
          </cell>
          <cell r="AX74" t="str">
            <v>nd</v>
          </cell>
          <cell r="AY74" t="str">
            <v>nd</v>
          </cell>
          <cell r="AZ74" t="str">
            <v>nd</v>
          </cell>
          <cell r="BA74">
            <v>0</v>
          </cell>
          <cell r="BB74" t="str">
            <v>nd</v>
          </cell>
          <cell r="BC74">
            <v>37.4</v>
          </cell>
          <cell r="BD74">
            <v>56.599999999999994</v>
          </cell>
          <cell r="BE74">
            <v>19.5</v>
          </cell>
          <cell r="BF74">
            <v>18.099999999999998</v>
          </cell>
          <cell r="BG74" t="str">
            <v>nd</v>
          </cell>
          <cell r="BH74">
            <v>10.8</v>
          </cell>
          <cell r="BI74">
            <v>20</v>
          </cell>
          <cell r="BJ74">
            <v>26.900000000000002</v>
          </cell>
          <cell r="BK74">
            <v>0</v>
          </cell>
          <cell r="BL74">
            <v>0</v>
          </cell>
          <cell r="BM74">
            <v>0</v>
          </cell>
          <cell r="BN74" t="str">
            <v>nd</v>
          </cell>
          <cell r="BO74">
            <v>76.8</v>
          </cell>
          <cell r="BP74">
            <v>19.3</v>
          </cell>
          <cell r="BQ74">
            <v>0</v>
          </cell>
          <cell r="BR74" t="str">
            <v>nd</v>
          </cell>
          <cell r="BS74">
            <v>0</v>
          </cell>
          <cell r="BT74">
            <v>12.3</v>
          </cell>
          <cell r="BU74">
            <v>56.899999999999991</v>
          </cell>
          <cell r="BV74">
            <v>27.900000000000002</v>
          </cell>
          <cell r="BW74">
            <v>0</v>
          </cell>
          <cell r="BX74">
            <v>0</v>
          </cell>
          <cell r="BY74">
            <v>0</v>
          </cell>
          <cell r="BZ74">
            <v>0</v>
          </cell>
          <cell r="CA74">
            <v>0</v>
          </cell>
          <cell r="CB74">
            <v>100</v>
          </cell>
          <cell r="CC74" t="str">
            <v>nd</v>
          </cell>
          <cell r="CD74">
            <v>19.100000000000001</v>
          </cell>
          <cell r="CE74" t="str">
            <v>nd</v>
          </cell>
          <cell r="CF74">
            <v>0</v>
          </cell>
          <cell r="CG74">
            <v>0</v>
          </cell>
          <cell r="CH74">
            <v>10.100000000000001</v>
          </cell>
          <cell r="CI74" t="str">
            <v>nd</v>
          </cell>
          <cell r="CJ74">
            <v>76.099999999999994</v>
          </cell>
          <cell r="CK74">
            <v>34.799999999999997</v>
          </cell>
          <cell r="CL74">
            <v>0</v>
          </cell>
          <cell r="CM74">
            <v>0</v>
          </cell>
          <cell r="CN74">
            <v>0</v>
          </cell>
          <cell r="CO74">
            <v>65.2</v>
          </cell>
          <cell r="CP74">
            <v>8.1</v>
          </cell>
          <cell r="CQ74">
            <v>19.5</v>
          </cell>
          <cell r="CR74">
            <v>28.000000000000004</v>
          </cell>
          <cell r="CS74">
            <v>44.4</v>
          </cell>
          <cell r="CT74">
            <v>69.599999999999994</v>
          </cell>
          <cell r="CU74">
            <v>30.4</v>
          </cell>
          <cell r="CV74">
            <v>23.799999999999997</v>
          </cell>
          <cell r="CW74">
            <v>76.2</v>
          </cell>
          <cell r="CX74">
            <v>13.200000000000001</v>
          </cell>
          <cell r="CY74">
            <v>58.099999999999994</v>
          </cell>
          <cell r="CZ74">
            <v>28.7</v>
          </cell>
          <cell r="DA74" t="str">
            <v>nd</v>
          </cell>
          <cell r="DB74" t="str">
            <v>nd</v>
          </cell>
          <cell r="DC74">
            <v>0</v>
          </cell>
          <cell r="DD74">
            <v>0</v>
          </cell>
          <cell r="DE74">
            <v>46.800000000000004</v>
          </cell>
          <cell r="DF74" t="str">
            <v>nd</v>
          </cell>
          <cell r="DG74">
            <v>5.6000000000000005</v>
          </cell>
          <cell r="DH74">
            <v>9.7000000000000011</v>
          </cell>
          <cell r="DI74">
            <v>16.2</v>
          </cell>
          <cell r="DJ74">
            <v>36.9</v>
          </cell>
          <cell r="DK74">
            <v>29.5</v>
          </cell>
          <cell r="DL74">
            <v>5.4</v>
          </cell>
          <cell r="DM74">
            <v>48.6</v>
          </cell>
          <cell r="DN74" t="str">
            <v>nd</v>
          </cell>
          <cell r="DO74">
            <v>42.6</v>
          </cell>
          <cell r="DP74">
            <v>16.8</v>
          </cell>
          <cell r="DQ74">
            <v>0</v>
          </cell>
          <cell r="DR74">
            <v>12.6</v>
          </cell>
          <cell r="DS74">
            <v>7.3</v>
          </cell>
          <cell r="DT74">
            <v>27.6</v>
          </cell>
          <cell r="DU74" t="str">
            <v>nd</v>
          </cell>
          <cell r="DV74">
            <v>14.3539178</v>
          </cell>
          <cell r="DW74">
            <v>0</v>
          </cell>
          <cell r="DX74" t="str">
            <v>nd</v>
          </cell>
          <cell r="DY74" t="str">
            <v>nd</v>
          </cell>
          <cell r="DZ74">
            <v>6.1310099999999998</v>
          </cell>
          <cell r="EA74">
            <v>10.5109811</v>
          </cell>
          <cell r="EB74">
            <v>0</v>
          </cell>
          <cell r="EC74" t="str">
            <v>nd</v>
          </cell>
          <cell r="ED74" t="str">
            <v>nd</v>
          </cell>
          <cell r="EE74">
            <v>0</v>
          </cell>
          <cell r="EF74">
            <v>20.284540500000002</v>
          </cell>
          <cell r="EG74" t="str">
            <v>nd</v>
          </cell>
          <cell r="EH74">
            <v>0</v>
          </cell>
          <cell r="EI74" t="str">
            <v>nd</v>
          </cell>
          <cell r="EJ74" t="str">
            <v>nd</v>
          </cell>
          <cell r="EK74">
            <v>0</v>
          </cell>
          <cell r="EL74">
            <v>8.1792751999999993</v>
          </cell>
          <cell r="EM74" t="str">
            <v>nd</v>
          </cell>
          <cell r="EN74">
            <v>0</v>
          </cell>
          <cell r="EO74">
            <v>0</v>
          </cell>
          <cell r="EP74">
            <v>0</v>
          </cell>
          <cell r="EQ74" t="str">
            <v>nd</v>
          </cell>
          <cell r="ER74">
            <v>0</v>
          </cell>
          <cell r="ES74">
            <v>0</v>
          </cell>
          <cell r="ET74">
            <v>0</v>
          </cell>
          <cell r="EU74">
            <v>0</v>
          </cell>
          <cell r="EV74" t="str">
            <v>nd</v>
          </cell>
          <cell r="EW74">
            <v>0</v>
          </cell>
          <cell r="EX74">
            <v>0</v>
          </cell>
          <cell r="EY74">
            <v>16.611506600000002</v>
          </cell>
          <cell r="EZ74">
            <v>0</v>
          </cell>
          <cell r="FA74">
            <v>0</v>
          </cell>
          <cell r="FB74">
            <v>11.9373395</v>
          </cell>
          <cell r="FC74" t="str">
            <v>nd</v>
          </cell>
          <cell r="FD74">
            <v>0</v>
          </cell>
          <cell r="FE74">
            <v>0</v>
          </cell>
          <cell r="FF74" t="str">
            <v>nd</v>
          </cell>
          <cell r="FG74">
            <v>9.8434439999999999</v>
          </cell>
          <cell r="FH74">
            <v>7.5625803000000005</v>
          </cell>
          <cell r="FI74">
            <v>0</v>
          </cell>
          <cell r="FJ74">
            <v>0</v>
          </cell>
          <cell r="FK74">
            <v>0</v>
          </cell>
          <cell r="FL74">
            <v>0</v>
          </cell>
          <cell r="FM74">
            <v>8.621341300000001</v>
          </cell>
          <cell r="FN74">
            <v>24.687769800000002</v>
          </cell>
          <cell r="FO74">
            <v>0</v>
          </cell>
          <cell r="FP74" t="str">
            <v>nd</v>
          </cell>
          <cell r="FQ74">
            <v>0</v>
          </cell>
          <cell r="FR74">
            <v>0</v>
          </cell>
          <cell r="FS74" t="str">
            <v>nd</v>
          </cell>
          <cell r="FT74">
            <v>8.7712629</v>
          </cell>
          <cell r="FU74">
            <v>0</v>
          </cell>
          <cell r="FV74">
            <v>0</v>
          </cell>
          <cell r="FW74">
            <v>0</v>
          </cell>
          <cell r="FX74">
            <v>0</v>
          </cell>
          <cell r="FY74">
            <v>0</v>
          </cell>
          <cell r="FZ74" t="str">
            <v>nd</v>
          </cell>
          <cell r="GA74">
            <v>15.684154299999999</v>
          </cell>
          <cell r="GB74" t="str">
            <v>nd</v>
          </cell>
          <cell r="GC74" t="str">
            <v>nd</v>
          </cell>
          <cell r="GD74">
            <v>0</v>
          </cell>
          <cell r="GE74" t="str">
            <v>nd</v>
          </cell>
          <cell r="GF74">
            <v>0</v>
          </cell>
          <cell r="GG74" t="str">
            <v>nd</v>
          </cell>
          <cell r="GH74" t="str">
            <v>nd</v>
          </cell>
          <cell r="GI74" t="str">
            <v>nd</v>
          </cell>
          <cell r="GJ74">
            <v>4.8618500000000004</v>
          </cell>
          <cell r="GK74" t="str">
            <v>nd</v>
          </cell>
          <cell r="GL74">
            <v>0</v>
          </cell>
          <cell r="GM74" t="str">
            <v>nd</v>
          </cell>
          <cell r="GN74">
            <v>0</v>
          </cell>
          <cell r="GO74" t="str">
            <v>nd</v>
          </cell>
          <cell r="GP74" t="str">
            <v>nd</v>
          </cell>
          <cell r="GQ74">
            <v>13.298962599999999</v>
          </cell>
          <cell r="GR74">
            <v>0</v>
          </cell>
          <cell r="GS74">
            <v>0</v>
          </cell>
          <cell r="GT74">
            <v>0</v>
          </cell>
          <cell r="GU74">
            <v>0</v>
          </cell>
          <cell r="GV74" t="str">
            <v>nd</v>
          </cell>
          <cell r="GW74">
            <v>9.3583990000000004</v>
          </cell>
          <cell r="GX74" t="str">
            <v>nd</v>
          </cell>
          <cell r="GY74">
            <v>0</v>
          </cell>
          <cell r="GZ74">
            <v>0</v>
          </cell>
          <cell r="HA74">
            <v>0</v>
          </cell>
          <cell r="HB74">
            <v>0</v>
          </cell>
          <cell r="HC74">
            <v>0</v>
          </cell>
          <cell r="HD74">
            <v>0</v>
          </cell>
          <cell r="HE74">
            <v>27.249470899999999</v>
          </cell>
          <cell r="HF74">
            <v>0</v>
          </cell>
          <cell r="HG74">
            <v>0</v>
          </cell>
          <cell r="HH74" t="str">
            <v>nd</v>
          </cell>
          <cell r="HI74">
            <v>0</v>
          </cell>
          <cell r="HJ74">
            <v>0</v>
          </cell>
          <cell r="HK74">
            <v>0</v>
          </cell>
          <cell r="HL74" t="str">
            <v>nd</v>
          </cell>
          <cell r="HM74">
            <v>13.105043799999999</v>
          </cell>
          <cell r="HN74" t="str">
            <v>nd</v>
          </cell>
          <cell r="HO74">
            <v>0</v>
          </cell>
          <cell r="HP74">
            <v>0</v>
          </cell>
          <cell r="HQ74">
            <v>0</v>
          </cell>
          <cell r="HR74">
            <v>0</v>
          </cell>
          <cell r="HS74">
            <v>30.358170099999999</v>
          </cell>
          <cell r="HT74" t="str">
            <v>nd</v>
          </cell>
          <cell r="HU74">
            <v>0</v>
          </cell>
          <cell r="HV74">
            <v>0</v>
          </cell>
          <cell r="HW74">
            <v>0</v>
          </cell>
          <cell r="HX74">
            <v>0</v>
          </cell>
          <cell r="HY74" t="str">
            <v>nd</v>
          </cell>
          <cell r="HZ74">
            <v>8.2972076000000001</v>
          </cell>
          <cell r="IA74">
            <v>0</v>
          </cell>
          <cell r="IB74">
            <v>0</v>
          </cell>
          <cell r="IC74">
            <v>0</v>
          </cell>
          <cell r="ID74">
            <v>0</v>
          </cell>
          <cell r="IE74" t="str">
            <v>nd</v>
          </cell>
          <cell r="IF74">
            <v>0</v>
          </cell>
          <cell r="IG74">
            <v>0</v>
          </cell>
          <cell r="IH74">
            <v>13.4635265</v>
          </cell>
          <cell r="II74">
            <v>0</v>
          </cell>
          <cell r="IJ74" t="str">
            <v>nd</v>
          </cell>
          <cell r="IK74">
            <v>11.275101999999999</v>
          </cell>
          <cell r="IL74">
            <v>0</v>
          </cell>
          <cell r="IM74" t="str">
            <v>nd</v>
          </cell>
          <cell r="IN74">
            <v>0</v>
          </cell>
          <cell r="IO74" t="str">
            <v>nd</v>
          </cell>
          <cell r="IP74">
            <v>13.0263718</v>
          </cell>
          <cell r="IQ74" t="str">
            <v>nd</v>
          </cell>
          <cell r="IR74">
            <v>0</v>
          </cell>
          <cell r="IS74">
            <v>0</v>
          </cell>
          <cell r="IT74">
            <v>0</v>
          </cell>
          <cell r="IU74" t="str">
            <v>nd</v>
          </cell>
          <cell r="IV74">
            <v>20.010283100000002</v>
          </cell>
          <cell r="IW74" t="str">
            <v>nd</v>
          </cell>
          <cell r="IX74">
            <v>0</v>
          </cell>
          <cell r="IY74" t="str">
            <v>nd</v>
          </cell>
          <cell r="IZ74">
            <v>0</v>
          </cell>
          <cell r="JA74" t="str">
            <v>nd</v>
          </cell>
          <cell r="JB74" t="str">
            <v>nd</v>
          </cell>
          <cell r="JC74" t="str">
            <v>nd</v>
          </cell>
          <cell r="JD74">
            <v>0</v>
          </cell>
          <cell r="JE74">
            <v>0</v>
          </cell>
          <cell r="JF74">
            <v>0</v>
          </cell>
          <cell r="JG74">
            <v>0</v>
          </cell>
          <cell r="JH74" t="str">
            <v>nd</v>
          </cell>
          <cell r="JI74">
            <v>0</v>
          </cell>
          <cell r="JJ74">
            <v>0</v>
          </cell>
          <cell r="JK74">
            <v>0</v>
          </cell>
          <cell r="JL74">
            <v>0</v>
          </cell>
          <cell r="JM74">
            <v>0</v>
          </cell>
          <cell r="JN74">
            <v>32.181938899999999</v>
          </cell>
          <cell r="JO74">
            <v>0</v>
          </cell>
          <cell r="JP74">
            <v>0</v>
          </cell>
          <cell r="JQ74">
            <v>0</v>
          </cell>
          <cell r="JR74">
            <v>0</v>
          </cell>
          <cell r="JS74">
            <v>0</v>
          </cell>
          <cell r="JT74">
            <v>16.766661599999999</v>
          </cell>
          <cell r="JU74">
            <v>0</v>
          </cell>
          <cell r="JV74">
            <v>0</v>
          </cell>
          <cell r="JW74">
            <v>0</v>
          </cell>
          <cell r="JX74">
            <v>0</v>
          </cell>
          <cell r="JY74">
            <v>0</v>
          </cell>
          <cell r="JZ74">
            <v>35.1233085</v>
          </cell>
          <cell r="KA74">
            <v>0</v>
          </cell>
          <cell r="KB74">
            <v>0</v>
          </cell>
          <cell r="KC74">
            <v>0</v>
          </cell>
          <cell r="KD74">
            <v>0</v>
          </cell>
          <cell r="KE74">
            <v>0</v>
          </cell>
          <cell r="KF74">
            <v>12.194633700000001</v>
          </cell>
          <cell r="KG74">
            <v>0</v>
          </cell>
          <cell r="KH74">
            <v>0</v>
          </cell>
          <cell r="KI74">
            <v>0</v>
          </cell>
          <cell r="KJ74">
            <v>0</v>
          </cell>
          <cell r="KK74">
            <v>0</v>
          </cell>
          <cell r="KL74" t="str">
            <v>nd</v>
          </cell>
          <cell r="KM74">
            <v>52</v>
          </cell>
          <cell r="KN74">
            <v>5</v>
          </cell>
          <cell r="KO74">
            <v>31.8</v>
          </cell>
          <cell r="KP74">
            <v>4.5999999999999996</v>
          </cell>
          <cell r="KQ74">
            <v>6.7</v>
          </cell>
          <cell r="KR74">
            <v>0</v>
          </cell>
          <cell r="KS74">
            <v>52.300000000000004</v>
          </cell>
          <cell r="KT74">
            <v>4.9000000000000004</v>
          </cell>
          <cell r="KU74">
            <v>30.9</v>
          </cell>
          <cell r="KV74">
            <v>4.5999999999999996</v>
          </cell>
          <cell r="KW74">
            <v>7.3</v>
          </cell>
          <cell r="KX74">
            <v>0</v>
          </cell>
          <cell r="KY74"/>
          <cell r="KZ74"/>
          <cell r="LA74"/>
          <cell r="LB74"/>
          <cell r="LC74"/>
          <cell r="LD74"/>
          <cell r="LE74"/>
          <cell r="LF74"/>
          <cell r="LG74"/>
          <cell r="LH74"/>
          <cell r="LI74"/>
          <cell r="LJ74"/>
          <cell r="LK74"/>
          <cell r="LL74"/>
          <cell r="LM74"/>
          <cell r="LN74"/>
          <cell r="LO74"/>
        </row>
        <row r="75">
          <cell r="A75" t="str">
            <v>5IZ</v>
          </cell>
          <cell r="B75" t="str">
            <v>75</v>
          </cell>
          <cell r="C75" t="str">
            <v>NAF 17</v>
          </cell>
          <cell r="D75" t="str">
            <v>IZ</v>
          </cell>
          <cell r="E75" t="str">
            <v>5</v>
          </cell>
          <cell r="F75">
            <v>29.9</v>
          </cell>
          <cell r="G75">
            <v>41</v>
          </cell>
          <cell r="H75">
            <v>18.099999999999998</v>
          </cell>
          <cell r="I75" t="str">
            <v>nd</v>
          </cell>
          <cell r="J75" t="str">
            <v>nd</v>
          </cell>
          <cell r="K75">
            <v>38.6</v>
          </cell>
          <cell r="L75">
            <v>50.7</v>
          </cell>
          <cell r="M75" t="str">
            <v>nd</v>
          </cell>
          <cell r="N75">
            <v>0</v>
          </cell>
          <cell r="O75">
            <v>61.199999999999996</v>
          </cell>
          <cell r="P75" t="str">
            <v>nd</v>
          </cell>
          <cell r="Q75" t="str">
            <v>nd</v>
          </cell>
          <cell r="R75">
            <v>8.6999999999999993</v>
          </cell>
          <cell r="S75" t="str">
            <v>nd</v>
          </cell>
          <cell r="T75">
            <v>44.4</v>
          </cell>
          <cell r="U75">
            <v>30.5</v>
          </cell>
          <cell r="V75" t="str">
            <v>nd</v>
          </cell>
          <cell r="W75">
            <v>30</v>
          </cell>
          <cell r="X75">
            <v>70</v>
          </cell>
          <cell r="Y75">
            <v>0</v>
          </cell>
          <cell r="Z75" t="str">
            <v>nd</v>
          </cell>
          <cell r="AA75">
            <v>28.599999999999998</v>
          </cell>
          <cell r="AB75">
            <v>0</v>
          </cell>
          <cell r="AC75">
            <v>67.2</v>
          </cell>
          <cell r="AD75">
            <v>24</v>
          </cell>
          <cell r="AE75">
            <v>89.2</v>
          </cell>
          <cell r="AF75">
            <v>10.8</v>
          </cell>
          <cell r="AG75">
            <v>16.900000000000002</v>
          </cell>
          <cell r="AH75">
            <v>83.1</v>
          </cell>
          <cell r="AI75">
            <v>49.3</v>
          </cell>
          <cell r="AJ75">
            <v>46.5</v>
          </cell>
          <cell r="AK75">
            <v>0</v>
          </cell>
          <cell r="AL75" t="str">
            <v>nd</v>
          </cell>
          <cell r="AM75" t="str">
            <v>nd</v>
          </cell>
          <cell r="AN75">
            <v>26.8</v>
          </cell>
          <cell r="AO75">
            <v>0</v>
          </cell>
          <cell r="AP75">
            <v>0</v>
          </cell>
          <cell r="AQ75">
            <v>53.6</v>
          </cell>
          <cell r="AR75">
            <v>19.600000000000001</v>
          </cell>
          <cell r="AS75">
            <v>26.5</v>
          </cell>
          <cell r="AT75">
            <v>17.599999999999998</v>
          </cell>
          <cell r="AU75" t="str">
            <v>nd</v>
          </cell>
          <cell r="AV75">
            <v>20.7</v>
          </cell>
          <cell r="AW75">
            <v>19.100000000000001</v>
          </cell>
          <cell r="AX75">
            <v>13.100000000000001</v>
          </cell>
          <cell r="AY75">
            <v>0</v>
          </cell>
          <cell r="AZ75" t="str">
            <v>nd</v>
          </cell>
          <cell r="BA75" t="str">
            <v>nd</v>
          </cell>
          <cell r="BB75" t="str">
            <v>nd</v>
          </cell>
          <cell r="BC75">
            <v>57.199999999999996</v>
          </cell>
          <cell r="BD75">
            <v>33.4</v>
          </cell>
          <cell r="BE75">
            <v>31.6</v>
          </cell>
          <cell r="BF75">
            <v>19.7</v>
          </cell>
          <cell r="BG75" t="str">
            <v>nd</v>
          </cell>
          <cell r="BH75" t="str">
            <v>nd</v>
          </cell>
          <cell r="BI75">
            <v>20.200000000000003</v>
          </cell>
          <cell r="BJ75">
            <v>18.399999999999999</v>
          </cell>
          <cell r="BK75">
            <v>0</v>
          </cell>
          <cell r="BL75">
            <v>0</v>
          </cell>
          <cell r="BM75">
            <v>0</v>
          </cell>
          <cell r="BN75" t="str">
            <v>nd</v>
          </cell>
          <cell r="BO75">
            <v>65</v>
          </cell>
          <cell r="BP75">
            <v>30.8</v>
          </cell>
          <cell r="BQ75">
            <v>0</v>
          </cell>
          <cell r="BR75">
            <v>0</v>
          </cell>
          <cell r="BS75">
            <v>0</v>
          </cell>
          <cell r="BT75">
            <v>19.2</v>
          </cell>
          <cell r="BU75">
            <v>51.300000000000004</v>
          </cell>
          <cell r="BV75">
            <v>29.5</v>
          </cell>
          <cell r="BW75">
            <v>0</v>
          </cell>
          <cell r="BX75">
            <v>0</v>
          </cell>
          <cell r="BY75">
            <v>0</v>
          </cell>
          <cell r="BZ75">
            <v>0</v>
          </cell>
          <cell r="CA75">
            <v>0</v>
          </cell>
          <cell r="CB75">
            <v>100</v>
          </cell>
          <cell r="CC75" t="str">
            <v>nd</v>
          </cell>
          <cell r="CD75">
            <v>6</v>
          </cell>
          <cell r="CE75">
            <v>0</v>
          </cell>
          <cell r="CF75" t="str">
            <v>nd</v>
          </cell>
          <cell r="CG75">
            <v>0</v>
          </cell>
          <cell r="CH75">
            <v>21.9</v>
          </cell>
          <cell r="CI75">
            <v>9.1</v>
          </cell>
          <cell r="CJ75">
            <v>72.8</v>
          </cell>
          <cell r="CK75">
            <v>20.399999999999999</v>
          </cell>
          <cell r="CL75">
            <v>0</v>
          </cell>
          <cell r="CM75">
            <v>0</v>
          </cell>
          <cell r="CN75">
            <v>0</v>
          </cell>
          <cell r="CO75">
            <v>71.5</v>
          </cell>
          <cell r="CP75">
            <v>7.3999999999999995</v>
          </cell>
          <cell r="CQ75">
            <v>23.599999999999998</v>
          </cell>
          <cell r="CR75">
            <v>10.8</v>
          </cell>
          <cell r="CS75">
            <v>58.199999999999996</v>
          </cell>
          <cell r="CT75">
            <v>59.099999999999994</v>
          </cell>
          <cell r="CU75">
            <v>40.9</v>
          </cell>
          <cell r="CV75">
            <v>35.4</v>
          </cell>
          <cell r="CW75">
            <v>64.600000000000009</v>
          </cell>
          <cell r="CX75">
            <v>32.800000000000004</v>
          </cell>
          <cell r="CY75">
            <v>27.1</v>
          </cell>
          <cell r="CZ75">
            <v>40.1</v>
          </cell>
          <cell r="DA75" t="str">
            <v>nd</v>
          </cell>
          <cell r="DB75" t="str">
            <v>nd</v>
          </cell>
          <cell r="DC75" t="str">
            <v>nd</v>
          </cell>
          <cell r="DD75">
            <v>0</v>
          </cell>
          <cell r="DE75">
            <v>50.5</v>
          </cell>
          <cell r="DF75">
            <v>0</v>
          </cell>
          <cell r="DG75">
            <v>0</v>
          </cell>
          <cell r="DH75" t="str">
            <v>nd</v>
          </cell>
          <cell r="DI75">
            <v>7.7</v>
          </cell>
          <cell r="DJ75">
            <v>46.800000000000004</v>
          </cell>
          <cell r="DK75">
            <v>39.800000000000004</v>
          </cell>
          <cell r="DL75">
            <v>13.4</v>
          </cell>
          <cell r="DM75">
            <v>53.400000000000006</v>
          </cell>
          <cell r="DN75" t="str">
            <v>nd</v>
          </cell>
          <cell r="DO75">
            <v>30.3</v>
          </cell>
          <cell r="DP75">
            <v>10.9</v>
          </cell>
          <cell r="DQ75" t="str">
            <v>nd</v>
          </cell>
          <cell r="DR75">
            <v>0</v>
          </cell>
          <cell r="DS75">
            <v>9.6</v>
          </cell>
          <cell r="DT75">
            <v>23.799999999999997</v>
          </cell>
          <cell r="DU75">
            <v>0</v>
          </cell>
          <cell r="DV75">
            <v>15.4422221</v>
          </cell>
          <cell r="DW75">
            <v>0</v>
          </cell>
          <cell r="DX75">
            <v>0</v>
          </cell>
          <cell r="DY75">
            <v>13.393158199999998</v>
          </cell>
          <cell r="DZ75">
            <v>9.7511160999999991</v>
          </cell>
          <cell r="EA75" t="str">
            <v>nd</v>
          </cell>
          <cell r="EB75" t="str">
            <v>nd</v>
          </cell>
          <cell r="EC75">
            <v>17.926051100000002</v>
          </cell>
          <cell r="ED75" t="str">
            <v>nd</v>
          </cell>
          <cell r="EE75">
            <v>0</v>
          </cell>
          <cell r="EF75">
            <v>14.5626727</v>
          </cell>
          <cell r="EG75" t="str">
            <v>nd</v>
          </cell>
          <cell r="EH75">
            <v>0</v>
          </cell>
          <cell r="EI75" t="str">
            <v>nd</v>
          </cell>
          <cell r="EJ75">
            <v>0</v>
          </cell>
          <cell r="EK75">
            <v>0</v>
          </cell>
          <cell r="EL75" t="str">
            <v>nd</v>
          </cell>
          <cell r="EM75">
            <v>0</v>
          </cell>
          <cell r="EN75">
            <v>0</v>
          </cell>
          <cell r="EO75" t="str">
            <v>nd</v>
          </cell>
          <cell r="EP75">
            <v>0</v>
          </cell>
          <cell r="EQ75">
            <v>0</v>
          </cell>
          <cell r="ER75">
            <v>0</v>
          </cell>
          <cell r="ES75" t="str">
            <v>nd</v>
          </cell>
          <cell r="ET75">
            <v>0</v>
          </cell>
          <cell r="EU75">
            <v>0</v>
          </cell>
          <cell r="EV75">
            <v>0</v>
          </cell>
          <cell r="EW75">
            <v>0</v>
          </cell>
          <cell r="EX75">
            <v>0</v>
          </cell>
          <cell r="EY75">
            <v>28.747211400000001</v>
          </cell>
          <cell r="EZ75">
            <v>0</v>
          </cell>
          <cell r="FA75" t="str">
            <v>nd</v>
          </cell>
          <cell r="FB75">
            <v>0</v>
          </cell>
          <cell r="FC75">
            <v>0</v>
          </cell>
          <cell r="FD75" t="str">
            <v>nd</v>
          </cell>
          <cell r="FE75" t="str">
            <v>nd</v>
          </cell>
          <cell r="FF75">
            <v>0</v>
          </cell>
          <cell r="FG75">
            <v>26.3188353</v>
          </cell>
          <cell r="FH75" t="str">
            <v>nd</v>
          </cell>
          <cell r="FI75">
            <v>0</v>
          </cell>
          <cell r="FJ75">
            <v>0</v>
          </cell>
          <cell r="FK75">
            <v>0</v>
          </cell>
          <cell r="FL75" t="str">
            <v>nd</v>
          </cell>
          <cell r="FM75" t="str">
            <v>nd</v>
          </cell>
          <cell r="FN75">
            <v>15.070206000000001</v>
          </cell>
          <cell r="FO75">
            <v>0</v>
          </cell>
          <cell r="FP75" t="str">
            <v>nd</v>
          </cell>
          <cell r="FQ75">
            <v>0</v>
          </cell>
          <cell r="FR75">
            <v>0</v>
          </cell>
          <cell r="FS75">
            <v>0</v>
          </cell>
          <cell r="FT75" t="str">
            <v>nd</v>
          </cell>
          <cell r="FU75">
            <v>0</v>
          </cell>
          <cell r="FV75">
            <v>0</v>
          </cell>
          <cell r="FW75">
            <v>0</v>
          </cell>
          <cell r="FX75">
            <v>0</v>
          </cell>
          <cell r="FY75">
            <v>0</v>
          </cell>
          <cell r="FZ75" t="str">
            <v>nd</v>
          </cell>
          <cell r="GA75">
            <v>28.536951300000002</v>
          </cell>
          <cell r="GB75">
            <v>0</v>
          </cell>
          <cell r="GC75">
            <v>0</v>
          </cell>
          <cell r="GD75">
            <v>0</v>
          </cell>
          <cell r="GE75">
            <v>0</v>
          </cell>
          <cell r="GF75" t="str">
            <v>nd</v>
          </cell>
          <cell r="GG75">
            <v>16.506939800000001</v>
          </cell>
          <cell r="GH75" t="str">
            <v>nd</v>
          </cell>
          <cell r="GI75" t="str">
            <v>nd</v>
          </cell>
          <cell r="GJ75" t="str">
            <v>nd</v>
          </cell>
          <cell r="GK75" t="str">
            <v>nd</v>
          </cell>
          <cell r="GL75">
            <v>0</v>
          </cell>
          <cell r="GM75" t="str">
            <v>nd</v>
          </cell>
          <cell r="GN75">
            <v>0</v>
          </cell>
          <cell r="GO75">
            <v>0</v>
          </cell>
          <cell r="GP75" t="str">
            <v>nd</v>
          </cell>
          <cell r="GQ75">
            <v>10.463948200000001</v>
          </cell>
          <cell r="GR75">
            <v>0</v>
          </cell>
          <cell r="GS75">
            <v>0</v>
          </cell>
          <cell r="GT75">
            <v>0</v>
          </cell>
          <cell r="GU75">
            <v>0</v>
          </cell>
          <cell r="GV75" t="str">
            <v>nd</v>
          </cell>
          <cell r="GW75" t="str">
            <v>nd</v>
          </cell>
          <cell r="GX75">
            <v>0</v>
          </cell>
          <cell r="GY75">
            <v>0</v>
          </cell>
          <cell r="GZ75">
            <v>0</v>
          </cell>
          <cell r="HA75">
            <v>0</v>
          </cell>
          <cell r="HB75" t="str">
            <v>nd</v>
          </cell>
          <cell r="HC75">
            <v>0</v>
          </cell>
          <cell r="HD75">
            <v>0</v>
          </cell>
          <cell r="HE75">
            <v>17.295671000000002</v>
          </cell>
          <cell r="HF75">
            <v>0</v>
          </cell>
          <cell r="HG75">
            <v>0</v>
          </cell>
          <cell r="HH75" t="str">
            <v>nd</v>
          </cell>
          <cell r="HI75">
            <v>0</v>
          </cell>
          <cell r="HJ75">
            <v>0</v>
          </cell>
          <cell r="HK75">
            <v>0</v>
          </cell>
          <cell r="HL75">
            <v>0</v>
          </cell>
          <cell r="HM75">
            <v>31.353414800000003</v>
          </cell>
          <cell r="HN75" t="str">
            <v>nd</v>
          </cell>
          <cell r="HO75">
            <v>0</v>
          </cell>
          <cell r="HP75">
            <v>0</v>
          </cell>
          <cell r="HQ75">
            <v>0</v>
          </cell>
          <cell r="HR75">
            <v>0</v>
          </cell>
          <cell r="HS75">
            <v>9.5846315000000004</v>
          </cell>
          <cell r="HT75">
            <v>9.1478180000000009</v>
          </cell>
          <cell r="HU75">
            <v>0</v>
          </cell>
          <cell r="HV75">
            <v>0</v>
          </cell>
          <cell r="HW75">
            <v>0</v>
          </cell>
          <cell r="HX75" t="str">
            <v>nd</v>
          </cell>
          <cell r="HY75" t="str">
            <v>nd</v>
          </cell>
          <cell r="HZ75">
            <v>0</v>
          </cell>
          <cell r="IA75">
            <v>0</v>
          </cell>
          <cell r="IB75">
            <v>0</v>
          </cell>
          <cell r="IC75">
            <v>0</v>
          </cell>
          <cell r="ID75">
            <v>0</v>
          </cell>
          <cell r="IE75" t="str">
            <v>nd</v>
          </cell>
          <cell r="IF75">
            <v>0</v>
          </cell>
          <cell r="IG75">
            <v>0</v>
          </cell>
          <cell r="IH75">
            <v>20.068846300000001</v>
          </cell>
          <cell r="II75">
            <v>0</v>
          </cell>
          <cell r="IJ75" t="str">
            <v>nd</v>
          </cell>
          <cell r="IK75">
            <v>7.3553782999999999</v>
          </cell>
          <cell r="IL75">
            <v>0</v>
          </cell>
          <cell r="IM75">
            <v>0</v>
          </cell>
          <cell r="IN75">
            <v>0</v>
          </cell>
          <cell r="IO75" t="str">
            <v>nd</v>
          </cell>
          <cell r="IP75">
            <v>16.484884000000001</v>
          </cell>
          <cell r="IQ75">
            <v>14.4985293</v>
          </cell>
          <cell r="IR75">
            <v>0</v>
          </cell>
          <cell r="IS75">
            <v>0</v>
          </cell>
          <cell r="IT75">
            <v>0</v>
          </cell>
          <cell r="IU75">
            <v>0</v>
          </cell>
          <cell r="IV75">
            <v>12.844459799999999</v>
          </cell>
          <cell r="IW75" t="str">
            <v>nd</v>
          </cell>
          <cell r="IX75">
            <v>0</v>
          </cell>
          <cell r="IY75">
            <v>0</v>
          </cell>
          <cell r="IZ75">
            <v>0</v>
          </cell>
          <cell r="JA75">
            <v>0</v>
          </cell>
          <cell r="JB75" t="str">
            <v>nd</v>
          </cell>
          <cell r="JC75">
            <v>0</v>
          </cell>
          <cell r="JD75">
            <v>0</v>
          </cell>
          <cell r="JE75">
            <v>0</v>
          </cell>
          <cell r="JF75">
            <v>0</v>
          </cell>
          <cell r="JG75" t="str">
            <v>nd</v>
          </cell>
          <cell r="JH75">
            <v>0</v>
          </cell>
          <cell r="JI75">
            <v>0</v>
          </cell>
          <cell r="JJ75">
            <v>0</v>
          </cell>
          <cell r="JK75">
            <v>0</v>
          </cell>
          <cell r="JL75">
            <v>0</v>
          </cell>
          <cell r="JM75">
            <v>0</v>
          </cell>
          <cell r="JN75">
            <v>29.306546900000001</v>
          </cell>
          <cell r="JO75">
            <v>0</v>
          </cell>
          <cell r="JP75">
            <v>0</v>
          </cell>
          <cell r="JQ75">
            <v>0</v>
          </cell>
          <cell r="JR75">
            <v>0</v>
          </cell>
          <cell r="JS75">
            <v>0</v>
          </cell>
          <cell r="JT75">
            <v>41.477610999999996</v>
          </cell>
          <cell r="JU75">
            <v>0</v>
          </cell>
          <cell r="JV75">
            <v>0</v>
          </cell>
          <cell r="JW75">
            <v>0</v>
          </cell>
          <cell r="JX75">
            <v>0</v>
          </cell>
          <cell r="JY75">
            <v>0</v>
          </cell>
          <cell r="JZ75">
            <v>18.751566699999998</v>
          </cell>
          <cell r="KA75">
            <v>0</v>
          </cell>
          <cell r="KB75">
            <v>0</v>
          </cell>
          <cell r="KC75">
            <v>0</v>
          </cell>
          <cell r="KD75">
            <v>0</v>
          </cell>
          <cell r="KE75">
            <v>0</v>
          </cell>
          <cell r="KF75" t="str">
            <v>nd</v>
          </cell>
          <cell r="KG75">
            <v>0</v>
          </cell>
          <cell r="KH75">
            <v>0</v>
          </cell>
          <cell r="KI75">
            <v>0</v>
          </cell>
          <cell r="KJ75">
            <v>0</v>
          </cell>
          <cell r="KK75">
            <v>0</v>
          </cell>
          <cell r="KL75" t="str">
            <v>nd</v>
          </cell>
          <cell r="KM75">
            <v>41.4</v>
          </cell>
          <cell r="KN75">
            <v>5.8999999999999995</v>
          </cell>
          <cell r="KO75">
            <v>42.8</v>
          </cell>
          <cell r="KP75">
            <v>3.6999999999999997</v>
          </cell>
          <cell r="KQ75">
            <v>6.1</v>
          </cell>
          <cell r="KR75">
            <v>0</v>
          </cell>
          <cell r="KS75">
            <v>41.699999999999996</v>
          </cell>
          <cell r="KT75">
            <v>5.8999999999999995</v>
          </cell>
          <cell r="KU75">
            <v>41.199999999999996</v>
          </cell>
          <cell r="KV75">
            <v>3.9</v>
          </cell>
          <cell r="KW75">
            <v>7.3</v>
          </cell>
          <cell r="KX75">
            <v>0</v>
          </cell>
          <cell r="KY75"/>
          <cell r="KZ75"/>
          <cell r="LA75"/>
          <cell r="LB75"/>
          <cell r="LC75"/>
          <cell r="LD75"/>
          <cell r="LE75"/>
          <cell r="LF75"/>
          <cell r="LG75"/>
          <cell r="LH75"/>
          <cell r="LI75"/>
          <cell r="LJ75"/>
          <cell r="LK75"/>
          <cell r="LL75"/>
          <cell r="LM75"/>
          <cell r="LN75"/>
          <cell r="LO75"/>
        </row>
        <row r="76">
          <cell r="A76" t="str">
            <v>6IZ</v>
          </cell>
          <cell r="B76" t="str">
            <v>76</v>
          </cell>
          <cell r="C76" t="str">
            <v>NAF 17</v>
          </cell>
          <cell r="D76" t="str">
            <v>IZ</v>
          </cell>
          <cell r="E76" t="str">
            <v>6</v>
          </cell>
          <cell r="F76">
            <v>6.6000000000000005</v>
          </cell>
          <cell r="G76">
            <v>74.7</v>
          </cell>
          <cell r="H76">
            <v>9.9</v>
          </cell>
          <cell r="I76">
            <v>6.7</v>
          </cell>
          <cell r="J76" t="str">
            <v>nd</v>
          </cell>
          <cell r="K76">
            <v>29.2</v>
          </cell>
          <cell r="L76">
            <v>69.399999999999991</v>
          </cell>
          <cell r="M76" t="str">
            <v>nd</v>
          </cell>
          <cell r="N76" t="str">
            <v>nd</v>
          </cell>
          <cell r="O76">
            <v>32.700000000000003</v>
          </cell>
          <cell r="P76">
            <v>28.7</v>
          </cell>
          <cell r="Q76" t="str">
            <v>nd</v>
          </cell>
          <cell r="R76">
            <v>2.8000000000000003</v>
          </cell>
          <cell r="S76" t="str">
            <v>nd</v>
          </cell>
          <cell r="T76">
            <v>20.200000000000003</v>
          </cell>
          <cell r="U76">
            <v>52.300000000000004</v>
          </cell>
          <cell r="V76">
            <v>6.1</v>
          </cell>
          <cell r="W76">
            <v>14.299999999999999</v>
          </cell>
          <cell r="X76">
            <v>81</v>
          </cell>
          <cell r="Y76">
            <v>4.7</v>
          </cell>
          <cell r="Z76">
            <v>0</v>
          </cell>
          <cell r="AA76">
            <v>52.7</v>
          </cell>
          <cell r="AB76">
            <v>0</v>
          </cell>
          <cell r="AC76">
            <v>93.899999999999991</v>
          </cell>
          <cell r="AD76">
            <v>0</v>
          </cell>
          <cell r="AE76">
            <v>94.6</v>
          </cell>
          <cell r="AF76">
            <v>5.4</v>
          </cell>
          <cell r="AG76">
            <v>44.4</v>
          </cell>
          <cell r="AH76">
            <v>55.600000000000009</v>
          </cell>
          <cell r="AI76">
            <v>23.200000000000003</v>
          </cell>
          <cell r="AJ76">
            <v>69.8</v>
          </cell>
          <cell r="AK76" t="str">
            <v>nd</v>
          </cell>
          <cell r="AL76" t="str">
            <v>nd</v>
          </cell>
          <cell r="AM76">
            <v>3.6999999999999997</v>
          </cell>
          <cell r="AN76">
            <v>38.299999999999997</v>
          </cell>
          <cell r="AO76">
            <v>2.1</v>
          </cell>
          <cell r="AP76">
            <v>8.9</v>
          </cell>
          <cell r="AQ76">
            <v>40</v>
          </cell>
          <cell r="AR76">
            <v>10.7</v>
          </cell>
          <cell r="AS76">
            <v>15.4</v>
          </cell>
          <cell r="AT76">
            <v>5.5</v>
          </cell>
          <cell r="AU76">
            <v>27.6</v>
          </cell>
          <cell r="AV76">
            <v>10.299999999999999</v>
          </cell>
          <cell r="AW76">
            <v>38.9</v>
          </cell>
          <cell r="AX76">
            <v>2.2999999999999998</v>
          </cell>
          <cell r="AY76">
            <v>0</v>
          </cell>
          <cell r="AZ76" t="str">
            <v>nd</v>
          </cell>
          <cell r="BA76">
            <v>0</v>
          </cell>
          <cell r="BB76">
            <v>2.2999999999999998</v>
          </cell>
          <cell r="BC76">
            <v>73</v>
          </cell>
          <cell r="BD76">
            <v>21.4</v>
          </cell>
          <cell r="BE76">
            <v>7.3999999999999995</v>
          </cell>
          <cell r="BF76">
            <v>48.9</v>
          </cell>
          <cell r="BG76">
            <v>21.7</v>
          </cell>
          <cell r="BH76">
            <v>2.4</v>
          </cell>
          <cell r="BI76">
            <v>4</v>
          </cell>
          <cell r="BJ76">
            <v>15.6</v>
          </cell>
          <cell r="BK76">
            <v>0</v>
          </cell>
          <cell r="BL76">
            <v>0</v>
          </cell>
          <cell r="BM76">
            <v>0</v>
          </cell>
          <cell r="BN76">
            <v>22.5</v>
          </cell>
          <cell r="BO76">
            <v>71.599999999999994</v>
          </cell>
          <cell r="BP76">
            <v>5.8999999999999995</v>
          </cell>
          <cell r="BQ76">
            <v>0</v>
          </cell>
          <cell r="BR76">
            <v>0</v>
          </cell>
          <cell r="BS76" t="str">
            <v>nd</v>
          </cell>
          <cell r="BT76">
            <v>60.9</v>
          </cell>
          <cell r="BU76">
            <v>32.1</v>
          </cell>
          <cell r="BV76">
            <v>6.4</v>
          </cell>
          <cell r="BW76">
            <v>0</v>
          </cell>
          <cell r="BX76">
            <v>0</v>
          </cell>
          <cell r="BY76">
            <v>0</v>
          </cell>
          <cell r="BZ76" t="str">
            <v>nd</v>
          </cell>
          <cell r="CA76" t="str">
            <v>nd</v>
          </cell>
          <cell r="CB76">
            <v>83.2</v>
          </cell>
          <cell r="CC76">
            <v>0</v>
          </cell>
          <cell r="CD76">
            <v>1.7000000000000002</v>
          </cell>
          <cell r="CE76">
            <v>0</v>
          </cell>
          <cell r="CF76">
            <v>0</v>
          </cell>
          <cell r="CG76">
            <v>0</v>
          </cell>
          <cell r="CH76">
            <v>9.6</v>
          </cell>
          <cell r="CI76" t="str">
            <v>nd</v>
          </cell>
          <cell r="CJ76">
            <v>88.5</v>
          </cell>
          <cell r="CK76">
            <v>10.9</v>
          </cell>
          <cell r="CL76" t="str">
            <v>nd</v>
          </cell>
          <cell r="CM76">
            <v>0</v>
          </cell>
          <cell r="CN76">
            <v>0</v>
          </cell>
          <cell r="CO76">
            <v>87.5</v>
          </cell>
          <cell r="CP76">
            <v>3.3000000000000003</v>
          </cell>
          <cell r="CQ76">
            <v>15.2</v>
          </cell>
          <cell r="CR76">
            <v>9.3000000000000007</v>
          </cell>
          <cell r="CS76">
            <v>72.2</v>
          </cell>
          <cell r="CT76">
            <v>62.1</v>
          </cell>
          <cell r="CU76">
            <v>37.9</v>
          </cell>
          <cell r="CV76">
            <v>52</v>
          </cell>
          <cell r="CW76">
            <v>48</v>
          </cell>
          <cell r="CX76">
            <v>20.9</v>
          </cell>
          <cell r="CY76">
            <v>12.3</v>
          </cell>
          <cell r="CZ76">
            <v>66.8</v>
          </cell>
          <cell r="DA76" t="str">
            <v>nd</v>
          </cell>
          <cell r="DB76">
            <v>37.1</v>
          </cell>
          <cell r="DC76">
            <v>25.3</v>
          </cell>
          <cell r="DD76" t="str">
            <v>nd</v>
          </cell>
          <cell r="DE76">
            <v>26.3</v>
          </cell>
          <cell r="DF76" t="str">
            <v>nd</v>
          </cell>
          <cell r="DG76" t="str">
            <v>nd</v>
          </cell>
          <cell r="DH76">
            <v>36.9</v>
          </cell>
          <cell r="DI76">
            <v>4.3</v>
          </cell>
          <cell r="DJ76">
            <v>17.2</v>
          </cell>
          <cell r="DK76">
            <v>39.1</v>
          </cell>
          <cell r="DL76" t="str">
            <v>nd</v>
          </cell>
          <cell r="DM76">
            <v>53.6</v>
          </cell>
          <cell r="DN76">
            <v>4.9000000000000004</v>
          </cell>
          <cell r="DO76">
            <v>47.599999999999994</v>
          </cell>
          <cell r="DP76">
            <v>4.5</v>
          </cell>
          <cell r="DQ76">
            <v>2.2999999999999998</v>
          </cell>
          <cell r="DR76">
            <v>1.9</v>
          </cell>
          <cell r="DS76">
            <v>62.3</v>
          </cell>
          <cell r="DT76">
            <v>38.200000000000003</v>
          </cell>
          <cell r="DU76" t="str">
            <v>nd</v>
          </cell>
          <cell r="DV76">
            <v>2.4816600000000002</v>
          </cell>
          <cell r="DW76">
            <v>0</v>
          </cell>
          <cell r="DX76" t="str">
            <v>nd</v>
          </cell>
          <cell r="DY76" t="str">
            <v>nd</v>
          </cell>
          <cell r="DZ76">
            <v>6.8972252999999997</v>
          </cell>
          <cell r="EA76">
            <v>3.5037699999999998</v>
          </cell>
          <cell r="EB76">
            <v>21.222742</v>
          </cell>
          <cell r="EC76">
            <v>5.8706800000000001</v>
          </cell>
          <cell r="ED76">
            <v>36.372647800000003</v>
          </cell>
          <cell r="EE76" t="str">
            <v>nd</v>
          </cell>
          <cell r="EF76">
            <v>3.6747399999999999</v>
          </cell>
          <cell r="EG76" t="str">
            <v>nd</v>
          </cell>
          <cell r="EH76">
            <v>3.0646400000000003</v>
          </cell>
          <cell r="EI76" t="str">
            <v>nd</v>
          </cell>
          <cell r="EJ76">
            <v>0</v>
          </cell>
          <cell r="EK76">
            <v>0</v>
          </cell>
          <cell r="EL76">
            <v>3.4201299999999999</v>
          </cell>
          <cell r="EM76">
            <v>0</v>
          </cell>
          <cell r="EN76" t="str">
            <v>nd</v>
          </cell>
          <cell r="EO76">
            <v>0</v>
          </cell>
          <cell r="EP76">
            <v>0</v>
          </cell>
          <cell r="EQ76">
            <v>0</v>
          </cell>
          <cell r="ER76" t="str">
            <v>nd</v>
          </cell>
          <cell r="ES76">
            <v>0</v>
          </cell>
          <cell r="ET76">
            <v>0</v>
          </cell>
          <cell r="EU76" t="str">
            <v>nd</v>
          </cell>
          <cell r="EV76">
            <v>0</v>
          </cell>
          <cell r="EW76">
            <v>0</v>
          </cell>
          <cell r="EX76">
            <v>0</v>
          </cell>
          <cell r="EY76">
            <v>3.67679</v>
          </cell>
          <cell r="EZ76">
            <v>0</v>
          </cell>
          <cell r="FA76" t="str">
            <v>nd</v>
          </cell>
          <cell r="FB76">
            <v>2.0714799999999998</v>
          </cell>
          <cell r="FC76">
            <v>0</v>
          </cell>
          <cell r="FD76">
            <v>0</v>
          </cell>
          <cell r="FE76">
            <v>0</v>
          </cell>
          <cell r="FF76" t="str">
            <v>nd</v>
          </cell>
          <cell r="FG76">
            <v>59.462737400000002</v>
          </cell>
          <cell r="FH76">
            <v>13.479028600000001</v>
          </cell>
          <cell r="FI76">
            <v>0</v>
          </cell>
          <cell r="FJ76">
            <v>0</v>
          </cell>
          <cell r="FK76">
            <v>0</v>
          </cell>
          <cell r="FL76">
            <v>0</v>
          </cell>
          <cell r="FM76">
            <v>5.5552700000000002</v>
          </cell>
          <cell r="FN76">
            <v>4.7523299999999997</v>
          </cell>
          <cell r="FO76">
            <v>0</v>
          </cell>
          <cell r="FP76" t="str">
            <v>nd</v>
          </cell>
          <cell r="FQ76">
            <v>0</v>
          </cell>
          <cell r="FR76">
            <v>0</v>
          </cell>
          <cell r="FS76" t="str">
            <v>nd</v>
          </cell>
          <cell r="FT76" t="str">
            <v>nd</v>
          </cell>
          <cell r="FU76">
            <v>0</v>
          </cell>
          <cell r="FV76">
            <v>0</v>
          </cell>
          <cell r="FW76">
            <v>0</v>
          </cell>
          <cell r="FX76">
            <v>0</v>
          </cell>
          <cell r="FY76" t="str">
            <v>nd</v>
          </cell>
          <cell r="FZ76">
            <v>0</v>
          </cell>
          <cell r="GA76">
            <v>3.9412700000000003</v>
          </cell>
          <cell r="GB76">
            <v>0</v>
          </cell>
          <cell r="GC76">
            <v>0</v>
          </cell>
          <cell r="GD76" t="str">
            <v>nd</v>
          </cell>
          <cell r="GE76">
            <v>0</v>
          </cell>
          <cell r="GF76">
            <v>2.3574899999999999</v>
          </cell>
          <cell r="GG76">
            <v>42.274151799999999</v>
          </cell>
          <cell r="GH76">
            <v>19.3062465</v>
          </cell>
          <cell r="GI76">
            <v>1.5809799999999998</v>
          </cell>
          <cell r="GJ76" t="str">
            <v>nd</v>
          </cell>
          <cell r="GK76">
            <v>7.8696832999999993</v>
          </cell>
          <cell r="GL76" t="str">
            <v>nd</v>
          </cell>
          <cell r="GM76">
            <v>4.74437</v>
          </cell>
          <cell r="GN76" t="str">
            <v>nd</v>
          </cell>
          <cell r="GO76">
            <v>0</v>
          </cell>
          <cell r="GP76" t="str">
            <v>nd</v>
          </cell>
          <cell r="GQ76" t="str">
            <v>nd</v>
          </cell>
          <cell r="GR76">
            <v>0</v>
          </cell>
          <cell r="GS76">
            <v>0</v>
          </cell>
          <cell r="GT76">
            <v>0</v>
          </cell>
          <cell r="GU76">
            <v>0</v>
          </cell>
          <cell r="GV76" t="str">
            <v>nd</v>
          </cell>
          <cell r="GW76" t="str">
            <v>nd</v>
          </cell>
          <cell r="GX76">
            <v>0</v>
          </cell>
          <cell r="GY76">
            <v>0</v>
          </cell>
          <cell r="GZ76">
            <v>0</v>
          </cell>
          <cell r="HA76">
            <v>0</v>
          </cell>
          <cell r="HB76">
            <v>0</v>
          </cell>
          <cell r="HC76" t="str">
            <v>nd</v>
          </cell>
          <cell r="HD76">
            <v>0</v>
          </cell>
          <cell r="HE76">
            <v>3.5836300000000003</v>
          </cell>
          <cell r="HF76">
            <v>0</v>
          </cell>
          <cell r="HG76" t="str">
            <v>nd</v>
          </cell>
          <cell r="HH76" t="str">
            <v>nd</v>
          </cell>
          <cell r="HI76">
            <v>0</v>
          </cell>
          <cell r="HJ76">
            <v>0</v>
          </cell>
          <cell r="HK76">
            <v>0</v>
          </cell>
          <cell r="HL76">
            <v>18.001123999999997</v>
          </cell>
          <cell r="HM76">
            <v>53.373183599999997</v>
          </cell>
          <cell r="HN76">
            <v>3.2773999999999996</v>
          </cell>
          <cell r="HO76">
            <v>0</v>
          </cell>
          <cell r="HP76">
            <v>0</v>
          </cell>
          <cell r="HQ76">
            <v>0</v>
          </cell>
          <cell r="HR76" t="str">
            <v>nd</v>
          </cell>
          <cell r="HS76">
            <v>7.3098175999999997</v>
          </cell>
          <cell r="HT76" t="str">
            <v>nd</v>
          </cell>
          <cell r="HU76">
            <v>0</v>
          </cell>
          <cell r="HV76">
            <v>0</v>
          </cell>
          <cell r="HW76">
            <v>0</v>
          </cell>
          <cell r="HX76">
            <v>0</v>
          </cell>
          <cell r="HY76">
            <v>6.8043977000000009</v>
          </cell>
          <cell r="HZ76">
            <v>0</v>
          </cell>
          <cell r="IA76">
            <v>0</v>
          </cell>
          <cell r="IB76">
            <v>0</v>
          </cell>
          <cell r="IC76">
            <v>0</v>
          </cell>
          <cell r="ID76" t="str">
            <v>nd</v>
          </cell>
          <cell r="IE76" t="str">
            <v>nd</v>
          </cell>
          <cell r="IF76">
            <v>0</v>
          </cell>
          <cell r="IG76">
            <v>0</v>
          </cell>
          <cell r="IH76">
            <v>1.67116</v>
          </cell>
          <cell r="II76">
            <v>0</v>
          </cell>
          <cell r="IJ76">
            <v>4.97614</v>
          </cell>
          <cell r="IK76">
            <v>0</v>
          </cell>
          <cell r="IL76">
            <v>0</v>
          </cell>
          <cell r="IM76">
            <v>0</v>
          </cell>
          <cell r="IN76" t="str">
            <v>nd</v>
          </cell>
          <cell r="IO76">
            <v>55.462526799999999</v>
          </cell>
          <cell r="IP76">
            <v>12.255458599999999</v>
          </cell>
          <cell r="IQ76">
            <v>3.3596699999999999</v>
          </cell>
          <cell r="IR76">
            <v>0</v>
          </cell>
          <cell r="IS76">
            <v>0</v>
          </cell>
          <cell r="IT76">
            <v>0</v>
          </cell>
          <cell r="IU76" t="str">
            <v>nd</v>
          </cell>
          <cell r="IV76">
            <v>9.2448025000000005</v>
          </cell>
          <cell r="IW76" t="str">
            <v>nd</v>
          </cell>
          <cell r="IX76">
            <v>0</v>
          </cell>
          <cell r="IY76">
            <v>0</v>
          </cell>
          <cell r="IZ76">
            <v>0</v>
          </cell>
          <cell r="JA76">
            <v>0</v>
          </cell>
          <cell r="JB76" t="str">
            <v>nd</v>
          </cell>
          <cell r="JC76" t="str">
            <v>nd</v>
          </cell>
          <cell r="JD76">
            <v>0</v>
          </cell>
          <cell r="JE76">
            <v>0</v>
          </cell>
          <cell r="JF76">
            <v>0</v>
          </cell>
          <cell r="JG76">
            <v>0</v>
          </cell>
          <cell r="JH76" t="str">
            <v>nd</v>
          </cell>
          <cell r="JI76">
            <v>0</v>
          </cell>
          <cell r="JJ76">
            <v>0</v>
          </cell>
          <cell r="JK76">
            <v>0</v>
          </cell>
          <cell r="JL76">
            <v>0</v>
          </cell>
          <cell r="JM76">
            <v>0</v>
          </cell>
          <cell r="JN76">
            <v>6.5468602000000002</v>
          </cell>
          <cell r="JO76">
            <v>0</v>
          </cell>
          <cell r="JP76">
            <v>0</v>
          </cell>
          <cell r="JQ76">
            <v>0</v>
          </cell>
          <cell r="JR76" t="str">
            <v>nd</v>
          </cell>
          <cell r="JS76" t="str">
            <v>nd</v>
          </cell>
          <cell r="JT76">
            <v>59.266802799999994</v>
          </cell>
          <cell r="JU76">
            <v>0</v>
          </cell>
          <cell r="JV76">
            <v>0</v>
          </cell>
          <cell r="JW76">
            <v>0</v>
          </cell>
          <cell r="JX76">
            <v>0</v>
          </cell>
          <cell r="JY76" t="str">
            <v>nd</v>
          </cell>
          <cell r="JZ76">
            <v>8.5135673000000001</v>
          </cell>
          <cell r="KA76">
            <v>0</v>
          </cell>
          <cell r="KB76">
            <v>0</v>
          </cell>
          <cell r="KC76">
            <v>0</v>
          </cell>
          <cell r="KD76">
            <v>0</v>
          </cell>
          <cell r="KE76">
            <v>0</v>
          </cell>
          <cell r="KF76">
            <v>6.8191671999999999</v>
          </cell>
          <cell r="KG76">
            <v>0</v>
          </cell>
          <cell r="KH76">
            <v>0</v>
          </cell>
          <cell r="KI76">
            <v>0</v>
          </cell>
          <cell r="KJ76">
            <v>0</v>
          </cell>
          <cell r="KK76">
            <v>0</v>
          </cell>
          <cell r="KL76" t="str">
            <v>nd</v>
          </cell>
          <cell r="KM76">
            <v>30</v>
          </cell>
          <cell r="KN76">
            <v>5.6000000000000005</v>
          </cell>
          <cell r="KO76">
            <v>43.1</v>
          </cell>
          <cell r="KP76">
            <v>7.7</v>
          </cell>
          <cell r="KQ76">
            <v>11.200000000000001</v>
          </cell>
          <cell r="KR76">
            <v>2.4</v>
          </cell>
          <cell r="KS76">
            <v>28.299999999999997</v>
          </cell>
          <cell r="KT76">
            <v>5.7</v>
          </cell>
          <cell r="KU76">
            <v>38.700000000000003</v>
          </cell>
          <cell r="KV76">
            <v>8.7999999999999989</v>
          </cell>
          <cell r="KW76">
            <v>15.2</v>
          </cell>
          <cell r="KX76">
            <v>3.2</v>
          </cell>
          <cell r="KY76"/>
          <cell r="KZ76"/>
          <cell r="LA76"/>
          <cell r="LB76"/>
          <cell r="LC76"/>
          <cell r="LD76"/>
          <cell r="LE76"/>
          <cell r="LF76"/>
          <cell r="LG76"/>
          <cell r="LH76"/>
          <cell r="LI76"/>
          <cell r="LJ76"/>
          <cell r="LK76"/>
          <cell r="LL76"/>
          <cell r="LM76"/>
          <cell r="LN76"/>
          <cell r="LO76"/>
        </row>
        <row r="77">
          <cell r="A77" t="str">
            <v>EnsJZ</v>
          </cell>
          <cell r="B77" t="str">
            <v>77</v>
          </cell>
          <cell r="C77" t="str">
            <v>NAF 17</v>
          </cell>
          <cell r="D77" t="str">
            <v>JZ</v>
          </cell>
          <cell r="E77" t="str">
            <v/>
          </cell>
          <cell r="F77">
            <v>0.2</v>
          </cell>
          <cell r="G77">
            <v>7.0000000000000009</v>
          </cell>
          <cell r="H77">
            <v>60.8</v>
          </cell>
          <cell r="I77">
            <v>28.499999999999996</v>
          </cell>
          <cell r="J77">
            <v>3.5000000000000004</v>
          </cell>
          <cell r="K77">
            <v>87.3</v>
          </cell>
          <cell r="L77">
            <v>6.1</v>
          </cell>
          <cell r="M77">
            <v>2.8000000000000003</v>
          </cell>
          <cell r="N77">
            <v>3.9</v>
          </cell>
          <cell r="O77">
            <v>40.699999999999996</v>
          </cell>
          <cell r="P77">
            <v>41.8</v>
          </cell>
          <cell r="Q77">
            <v>4.1000000000000005</v>
          </cell>
          <cell r="R77">
            <v>4.8</v>
          </cell>
          <cell r="S77">
            <v>4.1000000000000005</v>
          </cell>
          <cell r="T77">
            <v>48.699999999999996</v>
          </cell>
          <cell r="U77">
            <v>3</v>
          </cell>
          <cell r="V77">
            <v>21</v>
          </cell>
          <cell r="W77">
            <v>13.4</v>
          </cell>
          <cell r="X77">
            <v>81.399999999999991</v>
          </cell>
          <cell r="Y77">
            <v>5.2</v>
          </cell>
          <cell r="Z77">
            <v>21.4</v>
          </cell>
          <cell r="AA77">
            <v>36.6</v>
          </cell>
          <cell r="AB77">
            <v>29.799999999999997</v>
          </cell>
          <cell r="AC77">
            <v>72.5</v>
          </cell>
          <cell r="AD77">
            <v>21.4</v>
          </cell>
          <cell r="AE77">
            <v>57.9</v>
          </cell>
          <cell r="AF77">
            <v>42.1</v>
          </cell>
          <cell r="AG77">
            <v>47.4</v>
          </cell>
          <cell r="AH77">
            <v>52.6</v>
          </cell>
          <cell r="AI77">
            <v>69</v>
          </cell>
          <cell r="AJ77">
            <v>7.6</v>
          </cell>
          <cell r="AK77">
            <v>1.7000000000000002</v>
          </cell>
          <cell r="AL77">
            <v>17</v>
          </cell>
          <cell r="AM77">
            <v>4.7</v>
          </cell>
          <cell r="AN77">
            <v>19.2</v>
          </cell>
          <cell r="AO77">
            <v>3.1</v>
          </cell>
          <cell r="AP77">
            <v>23.3</v>
          </cell>
          <cell r="AQ77">
            <v>39.6</v>
          </cell>
          <cell r="AR77">
            <v>14.899999999999999</v>
          </cell>
          <cell r="AS77">
            <v>9.1</v>
          </cell>
          <cell r="AT77">
            <v>9.9</v>
          </cell>
          <cell r="AU77">
            <v>10.8</v>
          </cell>
          <cell r="AV77">
            <v>34.1</v>
          </cell>
          <cell r="AW77">
            <v>28.299999999999997</v>
          </cell>
          <cell r="AX77">
            <v>7.8</v>
          </cell>
          <cell r="AY77">
            <v>31.2</v>
          </cell>
          <cell r="AZ77">
            <v>30.099999999999998</v>
          </cell>
          <cell r="BA77">
            <v>21.3</v>
          </cell>
          <cell r="BB77">
            <v>7.9</v>
          </cell>
          <cell r="BC77">
            <v>6.2</v>
          </cell>
          <cell r="BD77">
            <v>3.3000000000000003</v>
          </cell>
          <cell r="BE77">
            <v>0.2</v>
          </cell>
          <cell r="BF77">
            <v>1.3</v>
          </cell>
          <cell r="BG77">
            <v>3.3000000000000003</v>
          </cell>
          <cell r="BH77">
            <v>7.7</v>
          </cell>
          <cell r="BI77">
            <v>34.799999999999997</v>
          </cell>
          <cell r="BJ77">
            <v>52.900000000000006</v>
          </cell>
          <cell r="BK77">
            <v>0</v>
          </cell>
          <cell r="BL77">
            <v>0</v>
          </cell>
          <cell r="BM77">
            <v>0</v>
          </cell>
          <cell r="BN77">
            <v>8.7999999999999989</v>
          </cell>
          <cell r="BO77">
            <v>70.099999999999994</v>
          </cell>
          <cell r="BP77">
            <v>21.099999999999998</v>
          </cell>
          <cell r="BQ77">
            <v>0</v>
          </cell>
          <cell r="BR77">
            <v>0.3</v>
          </cell>
          <cell r="BS77">
            <v>12.5</v>
          </cell>
          <cell r="BT77">
            <v>14.499999999999998</v>
          </cell>
          <cell r="BU77">
            <v>63.800000000000004</v>
          </cell>
          <cell r="BV77">
            <v>8.9</v>
          </cell>
          <cell r="BW77">
            <v>0</v>
          </cell>
          <cell r="BX77">
            <v>0</v>
          </cell>
          <cell r="BY77">
            <v>0</v>
          </cell>
          <cell r="BZ77">
            <v>0</v>
          </cell>
          <cell r="CA77">
            <v>11.200000000000001</v>
          </cell>
          <cell r="CB77">
            <v>88.8</v>
          </cell>
          <cell r="CC77">
            <v>5.8000000000000007</v>
          </cell>
          <cell r="CD77">
            <v>9.3000000000000007</v>
          </cell>
          <cell r="CE77" t="str">
            <v>nd</v>
          </cell>
          <cell r="CF77">
            <v>0.8</v>
          </cell>
          <cell r="CG77" t="str">
            <v>nd</v>
          </cell>
          <cell r="CH77">
            <v>19</v>
          </cell>
          <cell r="CI77">
            <v>12.6</v>
          </cell>
          <cell r="CJ77">
            <v>71.2</v>
          </cell>
          <cell r="CK77">
            <v>48.6</v>
          </cell>
          <cell r="CL77">
            <v>5.0999999999999996</v>
          </cell>
          <cell r="CM77">
            <v>1</v>
          </cell>
          <cell r="CN77">
            <v>1.0999999999999999</v>
          </cell>
          <cell r="CO77">
            <v>49.9</v>
          </cell>
          <cell r="CP77">
            <v>31.4</v>
          </cell>
          <cell r="CQ77">
            <v>15.5</v>
          </cell>
          <cell r="CR77">
            <v>13.5</v>
          </cell>
          <cell r="CS77">
            <v>39.6</v>
          </cell>
          <cell r="CT77">
            <v>33.1</v>
          </cell>
          <cell r="CU77">
            <v>66.900000000000006</v>
          </cell>
          <cell r="CV77">
            <v>39.1</v>
          </cell>
          <cell r="CW77">
            <v>60.9</v>
          </cell>
          <cell r="CX77">
            <v>40</v>
          </cell>
          <cell r="CY77">
            <v>19.5</v>
          </cell>
          <cell r="CZ77">
            <v>40.5</v>
          </cell>
          <cell r="DA77">
            <v>15.299999999999999</v>
          </cell>
          <cell r="DB77">
            <v>1.9</v>
          </cell>
          <cell r="DC77">
            <v>5.8000000000000007</v>
          </cell>
          <cell r="DD77" t="str">
            <v>nd</v>
          </cell>
          <cell r="DE77">
            <v>82.399999999999991</v>
          </cell>
          <cell r="DF77">
            <v>11.200000000000001</v>
          </cell>
          <cell r="DG77">
            <v>4.3999999999999995</v>
          </cell>
          <cell r="DH77">
            <v>11.799999999999999</v>
          </cell>
          <cell r="DI77">
            <v>26.5</v>
          </cell>
          <cell r="DJ77">
            <v>27.3</v>
          </cell>
          <cell r="DK77">
            <v>18.8</v>
          </cell>
          <cell r="DL77">
            <v>10.7</v>
          </cell>
          <cell r="DM77">
            <v>44.7</v>
          </cell>
          <cell r="DN77">
            <v>3.3000000000000003</v>
          </cell>
          <cell r="DO77">
            <v>31.6</v>
          </cell>
          <cell r="DP77">
            <v>28.1</v>
          </cell>
          <cell r="DQ77">
            <v>16.8</v>
          </cell>
          <cell r="DR77">
            <v>2.4</v>
          </cell>
          <cell r="DS77">
            <v>33.6</v>
          </cell>
          <cell r="DT77">
            <v>17.399999999999999</v>
          </cell>
          <cell r="DU77" t="str">
            <v>nd</v>
          </cell>
          <cell r="DV77">
            <v>0</v>
          </cell>
          <cell r="DW77">
            <v>0</v>
          </cell>
          <cell r="DX77">
            <v>0</v>
          </cell>
          <cell r="DY77" t="str">
            <v>nd</v>
          </cell>
          <cell r="DZ77">
            <v>0.93659000000000003</v>
          </cell>
          <cell r="EA77">
            <v>0.67330999999999996</v>
          </cell>
          <cell r="EB77">
            <v>0.36195099999999997</v>
          </cell>
          <cell r="EC77">
            <v>2.3826100000000001</v>
          </cell>
          <cell r="ED77">
            <v>2.5013700000000001</v>
          </cell>
          <cell r="EE77">
            <v>0.39104200000000006</v>
          </cell>
          <cell r="EF77">
            <v>3.2449199999999996</v>
          </cell>
          <cell r="EG77">
            <v>5.5274099999999997</v>
          </cell>
          <cell r="EH77">
            <v>7.3441588000000007</v>
          </cell>
          <cell r="EI77">
            <v>25.815666399999998</v>
          </cell>
          <cell r="EJ77">
            <v>14.9292844</v>
          </cell>
          <cell r="EK77">
            <v>3.2116199999999999</v>
          </cell>
          <cell r="EL77">
            <v>4.0531100000000002</v>
          </cell>
          <cell r="EM77">
            <v>2.1987999999999999</v>
          </cell>
          <cell r="EN77">
            <v>2.6373500000000001</v>
          </cell>
          <cell r="EO77">
            <v>5.5120399999999998</v>
          </cell>
          <cell r="EP77">
            <v>10.5608173</v>
          </cell>
          <cell r="EQ77">
            <v>3.9769899999999998</v>
          </cell>
          <cell r="ER77">
            <v>0.67423300000000008</v>
          </cell>
          <cell r="ES77">
            <v>1.5304200000000001</v>
          </cell>
          <cell r="ET77">
            <v>0.44980399999999998</v>
          </cell>
          <cell r="EU77">
            <v>0.45595599999999997</v>
          </cell>
          <cell r="EV77">
            <v>0.26033100000000003</v>
          </cell>
          <cell r="EW77" t="str">
            <v>nd</v>
          </cell>
          <cell r="EX77">
            <v>0</v>
          </cell>
          <cell r="EY77" t="str">
            <v>nd</v>
          </cell>
          <cell r="EZ77">
            <v>0</v>
          </cell>
          <cell r="FA77">
            <v>0</v>
          </cell>
          <cell r="FB77" t="str">
            <v>nd</v>
          </cell>
          <cell r="FC77">
            <v>2.1185399999999999</v>
          </cell>
          <cell r="FD77">
            <v>1.29979</v>
          </cell>
          <cell r="FE77">
            <v>0.9238599999999999</v>
          </cell>
          <cell r="FF77">
            <v>1.2189000000000001</v>
          </cell>
          <cell r="FG77">
            <v>0.61313399999999996</v>
          </cell>
          <cell r="FH77">
            <v>0.83545000000000003</v>
          </cell>
          <cell r="FI77">
            <v>14.251461100000002</v>
          </cell>
          <cell r="FJ77">
            <v>21.119729400000001</v>
          </cell>
          <cell r="FK77">
            <v>16.880964200000001</v>
          </cell>
          <cell r="FL77">
            <v>4.2560599999999997</v>
          </cell>
          <cell r="FM77">
            <v>2.9506800000000002</v>
          </cell>
          <cell r="FN77">
            <v>1.14218</v>
          </cell>
          <cell r="FO77">
            <v>14.193796499999999</v>
          </cell>
          <cell r="FP77">
            <v>7.3901041999999997</v>
          </cell>
          <cell r="FQ77">
            <v>2.5261300000000002</v>
          </cell>
          <cell r="FR77">
            <v>1.661</v>
          </cell>
          <cell r="FS77">
            <v>2.1104000000000003</v>
          </cell>
          <cell r="FT77">
            <v>0.79754000000000003</v>
          </cell>
          <cell r="FU77">
            <v>0.67783000000000004</v>
          </cell>
          <cell r="FV77">
            <v>0.33596599999999999</v>
          </cell>
          <cell r="FW77">
            <v>0.97867999999999999</v>
          </cell>
          <cell r="FX77">
            <v>0.78574000000000011</v>
          </cell>
          <cell r="FY77">
            <v>0.45150099999999999</v>
          </cell>
          <cell r="FZ77" t="str">
            <v>nd</v>
          </cell>
          <cell r="GA77" t="str">
            <v>nd</v>
          </cell>
          <cell r="GB77" t="str">
            <v>nd</v>
          </cell>
          <cell r="GC77">
            <v>0</v>
          </cell>
          <cell r="GD77">
            <v>0</v>
          </cell>
          <cell r="GE77" t="str">
            <v>nd</v>
          </cell>
          <cell r="GF77" t="str">
            <v>nd</v>
          </cell>
          <cell r="GG77">
            <v>0.80814000000000008</v>
          </cell>
          <cell r="GH77">
            <v>0.53978599999999999</v>
          </cell>
          <cell r="GI77">
            <v>1.8036799999999999</v>
          </cell>
          <cell r="GJ77">
            <v>1.92536</v>
          </cell>
          <cell r="GK77">
            <v>1.5344599999999999</v>
          </cell>
          <cell r="GL77">
            <v>0</v>
          </cell>
          <cell r="GM77">
            <v>0.46161199999999997</v>
          </cell>
          <cell r="GN77">
            <v>2.72268</v>
          </cell>
          <cell r="GO77">
            <v>5.2331500000000002</v>
          </cell>
          <cell r="GP77">
            <v>25.7348091</v>
          </cell>
          <cell r="GQ77">
            <v>27.004068100000001</v>
          </cell>
          <cell r="GR77">
            <v>0</v>
          </cell>
          <cell r="GS77">
            <v>0</v>
          </cell>
          <cell r="GT77">
            <v>0</v>
          </cell>
          <cell r="GU77">
            <v>0.53087799999999996</v>
          </cell>
          <cell r="GV77">
            <v>5.3326900000000004</v>
          </cell>
          <cell r="GW77">
            <v>22.216372100000001</v>
          </cell>
          <cell r="GX77">
            <v>0</v>
          </cell>
          <cell r="GY77">
            <v>0</v>
          </cell>
          <cell r="GZ77">
            <v>0</v>
          </cell>
          <cell r="HA77" t="str">
            <v>nd</v>
          </cell>
          <cell r="HB77">
            <v>1.6562299999999999</v>
          </cell>
          <cell r="HC77">
            <v>2.09165</v>
          </cell>
          <cell r="HD77">
            <v>0</v>
          </cell>
          <cell r="HE77">
            <v>0</v>
          </cell>
          <cell r="HF77">
            <v>0</v>
          </cell>
          <cell r="HG77">
            <v>0</v>
          </cell>
          <cell r="HH77" t="str">
            <v>nd</v>
          </cell>
          <cell r="HI77">
            <v>0</v>
          </cell>
          <cell r="HJ77">
            <v>0</v>
          </cell>
          <cell r="HK77">
            <v>0</v>
          </cell>
          <cell r="HL77" t="str">
            <v>nd</v>
          </cell>
          <cell r="HM77">
            <v>4.2902199999999997</v>
          </cell>
          <cell r="HN77">
            <v>2.37018</v>
          </cell>
          <cell r="HO77">
            <v>0</v>
          </cell>
          <cell r="HP77">
            <v>0</v>
          </cell>
          <cell r="HQ77">
            <v>0</v>
          </cell>
          <cell r="HR77">
            <v>8.4758502</v>
          </cell>
          <cell r="HS77">
            <v>42.598843800000004</v>
          </cell>
          <cell r="HT77">
            <v>9.9333313000000008</v>
          </cell>
          <cell r="HU77">
            <v>0</v>
          </cell>
          <cell r="HV77">
            <v>0</v>
          </cell>
          <cell r="HW77">
            <v>0</v>
          </cell>
          <cell r="HX77">
            <v>0.22801700000000003</v>
          </cell>
          <cell r="HY77">
            <v>20.7342415</v>
          </cell>
          <cell r="HZ77">
            <v>7.4425386999999992</v>
          </cell>
          <cell r="IA77">
            <v>0</v>
          </cell>
          <cell r="IB77">
            <v>0</v>
          </cell>
          <cell r="IC77">
            <v>0</v>
          </cell>
          <cell r="ID77">
            <v>0</v>
          </cell>
          <cell r="IE77">
            <v>2.5113599999999998</v>
          </cell>
          <cell r="IF77">
            <v>1.1379600000000001</v>
          </cell>
          <cell r="IG77">
            <v>0</v>
          </cell>
          <cell r="IH77" t="str">
            <v>nd</v>
          </cell>
          <cell r="II77">
            <v>0</v>
          </cell>
          <cell r="IJ77">
            <v>0</v>
          </cell>
          <cell r="IK77" t="str">
            <v>nd</v>
          </cell>
          <cell r="IL77">
            <v>0</v>
          </cell>
          <cell r="IM77">
            <v>0</v>
          </cell>
          <cell r="IN77">
            <v>0.45389799999999997</v>
          </cell>
          <cell r="IO77">
            <v>0.77544099999999994</v>
          </cell>
          <cell r="IP77">
            <v>4.1856</v>
          </cell>
          <cell r="IQ77">
            <v>1.3490599999999999</v>
          </cell>
          <cell r="IR77">
            <v>0</v>
          </cell>
          <cell r="IS77" t="str">
            <v>nd</v>
          </cell>
          <cell r="IT77">
            <v>11.683440300000001</v>
          </cell>
          <cell r="IU77">
            <v>10.170776800000001</v>
          </cell>
          <cell r="IV77">
            <v>35.910722699999994</v>
          </cell>
          <cell r="IW77">
            <v>3.3865699999999999</v>
          </cell>
          <cell r="IX77">
            <v>0</v>
          </cell>
          <cell r="IY77" t="str">
            <v>nd</v>
          </cell>
          <cell r="IZ77">
            <v>0.38465499999999997</v>
          </cell>
          <cell r="JA77">
            <v>2.8033399999999999</v>
          </cell>
          <cell r="JB77">
            <v>21.229854899999999</v>
          </cell>
          <cell r="JC77">
            <v>3.6136799999999996</v>
          </cell>
          <cell r="JD77">
            <v>0</v>
          </cell>
          <cell r="JE77">
            <v>0</v>
          </cell>
          <cell r="JF77">
            <v>0</v>
          </cell>
          <cell r="JG77">
            <v>0.79138000000000008</v>
          </cell>
          <cell r="JH77">
            <v>2.36307</v>
          </cell>
          <cell r="JI77">
            <v>0.38808500000000001</v>
          </cell>
          <cell r="JJ77">
            <v>0</v>
          </cell>
          <cell r="JK77">
            <v>0</v>
          </cell>
          <cell r="JL77">
            <v>0</v>
          </cell>
          <cell r="JM77">
            <v>0</v>
          </cell>
          <cell r="JN77">
            <v>0.222552</v>
          </cell>
          <cell r="JO77">
            <v>0</v>
          </cell>
          <cell r="JP77">
            <v>0</v>
          </cell>
          <cell r="JQ77">
            <v>0</v>
          </cell>
          <cell r="JR77">
            <v>0</v>
          </cell>
          <cell r="JS77" t="str">
            <v>nd</v>
          </cell>
          <cell r="JT77">
            <v>6.6749338000000007</v>
          </cell>
          <cell r="JU77">
            <v>0</v>
          </cell>
          <cell r="JV77">
            <v>0</v>
          </cell>
          <cell r="JW77">
            <v>0</v>
          </cell>
          <cell r="JX77">
            <v>0</v>
          </cell>
          <cell r="JY77">
            <v>11.141501700000001</v>
          </cell>
          <cell r="JZ77">
            <v>49.6910569</v>
          </cell>
          <cell r="KA77">
            <v>0</v>
          </cell>
          <cell r="KB77">
            <v>0</v>
          </cell>
          <cell r="KC77">
            <v>0</v>
          </cell>
          <cell r="KD77">
            <v>0</v>
          </cell>
          <cell r="KE77">
            <v>0</v>
          </cell>
          <cell r="KF77">
            <v>28.5906956</v>
          </cell>
          <cell r="KG77">
            <v>0</v>
          </cell>
          <cell r="KH77">
            <v>0</v>
          </cell>
          <cell r="KI77">
            <v>0</v>
          </cell>
          <cell r="KJ77">
            <v>0</v>
          </cell>
          <cell r="KK77">
            <v>0</v>
          </cell>
          <cell r="KL77">
            <v>3.6422299999999996</v>
          </cell>
          <cell r="KM77">
            <v>24.9</v>
          </cell>
          <cell r="KN77">
            <v>54.7</v>
          </cell>
          <cell r="KO77">
            <v>4.8</v>
          </cell>
          <cell r="KP77">
            <v>4.9000000000000004</v>
          </cell>
          <cell r="KQ77">
            <v>10.100000000000001</v>
          </cell>
          <cell r="KR77">
            <v>0.5</v>
          </cell>
          <cell r="KS77">
            <v>26.8</v>
          </cell>
          <cell r="KT77">
            <v>52.1</v>
          </cell>
          <cell r="KU77">
            <v>5</v>
          </cell>
          <cell r="KV77">
            <v>5.4</v>
          </cell>
          <cell r="KW77">
            <v>10.100000000000001</v>
          </cell>
          <cell r="KX77">
            <v>0.6</v>
          </cell>
          <cell r="KY77"/>
          <cell r="KZ77"/>
          <cell r="LA77"/>
          <cell r="LB77"/>
          <cell r="LC77"/>
          <cell r="LD77"/>
          <cell r="LE77"/>
          <cell r="LF77"/>
          <cell r="LG77"/>
          <cell r="LH77"/>
          <cell r="LI77"/>
          <cell r="LJ77"/>
          <cell r="LK77"/>
          <cell r="LL77"/>
          <cell r="LM77"/>
          <cell r="LN77"/>
          <cell r="LO77"/>
        </row>
        <row r="78">
          <cell r="A78" t="str">
            <v>1JZ</v>
          </cell>
          <cell r="B78" t="str">
            <v>78</v>
          </cell>
          <cell r="C78" t="str">
            <v>NAF 17</v>
          </cell>
          <cell r="D78" t="str">
            <v>JZ</v>
          </cell>
          <cell r="E78" t="str">
            <v>1</v>
          </cell>
          <cell r="F78" t="str">
            <v>nd</v>
          </cell>
          <cell r="G78">
            <v>17.2</v>
          </cell>
          <cell r="H78">
            <v>39.4</v>
          </cell>
          <cell r="I78">
            <v>38.9</v>
          </cell>
          <cell r="J78">
            <v>4</v>
          </cell>
          <cell r="K78">
            <v>79.600000000000009</v>
          </cell>
          <cell r="L78">
            <v>13.600000000000001</v>
          </cell>
          <cell r="M78">
            <v>2.9000000000000004</v>
          </cell>
          <cell r="N78" t="str">
            <v>nd</v>
          </cell>
          <cell r="O78">
            <v>27.6</v>
          </cell>
          <cell r="P78">
            <v>21.4</v>
          </cell>
          <cell r="Q78">
            <v>8.2000000000000011</v>
          </cell>
          <cell r="R78">
            <v>7.3999999999999995</v>
          </cell>
          <cell r="S78">
            <v>8.4</v>
          </cell>
          <cell r="T78">
            <v>54.300000000000004</v>
          </cell>
          <cell r="U78">
            <v>8.6</v>
          </cell>
          <cell r="V78">
            <v>19.3</v>
          </cell>
          <cell r="W78">
            <v>8</v>
          </cell>
          <cell r="X78">
            <v>85.6</v>
          </cell>
          <cell r="Y78">
            <v>6.5</v>
          </cell>
          <cell r="Z78" t="str">
            <v>nd</v>
          </cell>
          <cell r="AA78">
            <v>37.5</v>
          </cell>
          <cell r="AB78" t="str">
            <v>nd</v>
          </cell>
          <cell r="AC78">
            <v>56.3</v>
          </cell>
          <cell r="AD78">
            <v>28.799999999999997</v>
          </cell>
          <cell r="AE78">
            <v>53.1</v>
          </cell>
          <cell r="AF78">
            <v>46.9</v>
          </cell>
          <cell r="AG78">
            <v>23.200000000000003</v>
          </cell>
          <cell r="AH78">
            <v>76.8</v>
          </cell>
          <cell r="AI78">
            <v>73.400000000000006</v>
          </cell>
          <cell r="AJ78">
            <v>14.299999999999999</v>
          </cell>
          <cell r="AK78" t="str">
            <v>nd</v>
          </cell>
          <cell r="AL78">
            <v>7.6</v>
          </cell>
          <cell r="AM78" t="str">
            <v>nd</v>
          </cell>
          <cell r="AN78">
            <v>13.700000000000001</v>
          </cell>
          <cell r="AO78" t="str">
            <v>nd</v>
          </cell>
          <cell r="AP78">
            <v>0</v>
          </cell>
          <cell r="AQ78">
            <v>77.900000000000006</v>
          </cell>
          <cell r="AR78">
            <v>4.5999999999999996</v>
          </cell>
          <cell r="AS78">
            <v>24.4</v>
          </cell>
          <cell r="AT78">
            <v>14.799999999999999</v>
          </cell>
          <cell r="AU78">
            <v>7.6</v>
          </cell>
          <cell r="AV78">
            <v>28.799999999999997</v>
          </cell>
          <cell r="AW78">
            <v>11.200000000000001</v>
          </cell>
          <cell r="AX78">
            <v>13.3</v>
          </cell>
          <cell r="AY78">
            <v>25.5</v>
          </cell>
          <cell r="AZ78">
            <v>19.7</v>
          </cell>
          <cell r="BA78">
            <v>16.8</v>
          </cell>
          <cell r="BB78">
            <v>14.399999999999999</v>
          </cell>
          <cell r="BC78">
            <v>11.600000000000001</v>
          </cell>
          <cell r="BD78">
            <v>12</v>
          </cell>
          <cell r="BE78" t="str">
            <v>nd</v>
          </cell>
          <cell r="BF78">
            <v>4.3</v>
          </cell>
          <cell r="BG78" t="str">
            <v>nd</v>
          </cell>
          <cell r="BH78">
            <v>9.1</v>
          </cell>
          <cell r="BI78">
            <v>17.399999999999999</v>
          </cell>
          <cell r="BJ78">
            <v>66.8</v>
          </cell>
          <cell r="BK78">
            <v>0</v>
          </cell>
          <cell r="BL78">
            <v>0</v>
          </cell>
          <cell r="BM78">
            <v>0</v>
          </cell>
          <cell r="BN78" t="str">
            <v>nd</v>
          </cell>
          <cell r="BO78">
            <v>23.200000000000003</v>
          </cell>
          <cell r="BP78">
            <v>75.900000000000006</v>
          </cell>
          <cell r="BQ78">
            <v>0</v>
          </cell>
          <cell r="BR78">
            <v>0</v>
          </cell>
          <cell r="BS78" t="str">
            <v>nd</v>
          </cell>
          <cell r="BT78">
            <v>9.6</v>
          </cell>
          <cell r="BU78">
            <v>47.5</v>
          </cell>
          <cell r="BV78">
            <v>42.199999999999996</v>
          </cell>
          <cell r="BW78">
            <v>0</v>
          </cell>
          <cell r="BX78">
            <v>0</v>
          </cell>
          <cell r="BY78">
            <v>0</v>
          </cell>
          <cell r="BZ78">
            <v>0</v>
          </cell>
          <cell r="CA78" t="str">
            <v>nd</v>
          </cell>
          <cell r="CB78">
            <v>99</v>
          </cell>
          <cell r="CC78">
            <v>4</v>
          </cell>
          <cell r="CD78">
            <v>4.3</v>
          </cell>
          <cell r="CE78">
            <v>0</v>
          </cell>
          <cell r="CF78">
            <v>0</v>
          </cell>
          <cell r="CG78">
            <v>0</v>
          </cell>
          <cell r="CH78">
            <v>21.099999999999998</v>
          </cell>
          <cell r="CI78">
            <v>28.7</v>
          </cell>
          <cell r="CJ78">
            <v>65.900000000000006</v>
          </cell>
          <cell r="CK78">
            <v>19.400000000000002</v>
          </cell>
          <cell r="CL78">
            <v>2.1</v>
          </cell>
          <cell r="CM78" t="str">
            <v>nd</v>
          </cell>
          <cell r="CN78" t="str">
            <v>nd</v>
          </cell>
          <cell r="CO78">
            <v>81.100000000000009</v>
          </cell>
          <cell r="CP78">
            <v>34.9</v>
          </cell>
          <cell r="CQ78">
            <v>25.4</v>
          </cell>
          <cell r="CR78">
            <v>14.099999999999998</v>
          </cell>
          <cell r="CS78">
            <v>25.6</v>
          </cell>
          <cell r="CT78">
            <v>13.5</v>
          </cell>
          <cell r="CU78">
            <v>86.5</v>
          </cell>
          <cell r="CV78">
            <v>18.3</v>
          </cell>
          <cell r="CW78">
            <v>81.699999999999989</v>
          </cell>
          <cell r="CX78">
            <v>21</v>
          </cell>
          <cell r="CY78">
            <v>25.2</v>
          </cell>
          <cell r="CZ78">
            <v>53.800000000000004</v>
          </cell>
          <cell r="DA78">
            <v>41.6</v>
          </cell>
          <cell r="DB78" t="str">
            <v>nd</v>
          </cell>
          <cell r="DC78" t="str">
            <v>nd</v>
          </cell>
          <cell r="DD78">
            <v>0</v>
          </cell>
          <cell r="DE78">
            <v>62.9</v>
          </cell>
          <cell r="DF78">
            <v>11.5</v>
          </cell>
          <cell r="DG78">
            <v>9.5</v>
          </cell>
          <cell r="DH78">
            <v>18</v>
          </cell>
          <cell r="DI78">
            <v>24.3</v>
          </cell>
          <cell r="DJ78">
            <v>19.100000000000001</v>
          </cell>
          <cell r="DK78">
            <v>17.599999999999998</v>
          </cell>
          <cell r="DL78">
            <v>13</v>
          </cell>
          <cell r="DM78">
            <v>52.5</v>
          </cell>
          <cell r="DN78">
            <v>3</v>
          </cell>
          <cell r="DO78">
            <v>14.7</v>
          </cell>
          <cell r="DP78">
            <v>10.299999999999999</v>
          </cell>
          <cell r="DQ78">
            <v>0</v>
          </cell>
          <cell r="DR78">
            <v>6.4</v>
          </cell>
          <cell r="DS78">
            <v>21</v>
          </cell>
          <cell r="DT78">
            <v>21.5</v>
          </cell>
          <cell r="DU78">
            <v>0</v>
          </cell>
          <cell r="DV78">
            <v>0</v>
          </cell>
          <cell r="DW78">
            <v>0</v>
          </cell>
          <cell r="DX78">
            <v>0</v>
          </cell>
          <cell r="DY78" t="str">
            <v>nd</v>
          </cell>
          <cell r="DZ78">
            <v>6.4724795999999998</v>
          </cell>
          <cell r="EA78">
            <v>3.1745500000000004</v>
          </cell>
          <cell r="EB78" t="str">
            <v>nd</v>
          </cell>
          <cell r="EC78">
            <v>7.7566967</v>
          </cell>
          <cell r="ED78">
            <v>0</v>
          </cell>
          <cell r="EE78">
            <v>1.91414</v>
          </cell>
          <cell r="EF78">
            <v>7.2860097000000001</v>
          </cell>
          <cell r="EG78">
            <v>4.8360500000000002</v>
          </cell>
          <cell r="EH78">
            <v>2.9297299999999997</v>
          </cell>
          <cell r="EI78">
            <v>12.1751775</v>
          </cell>
          <cell r="EJ78">
            <v>4.02773</v>
          </cell>
          <cell r="EK78">
            <v>2.4249700000000001</v>
          </cell>
          <cell r="EL78">
            <v>9.7732486999999999</v>
          </cell>
          <cell r="EM78">
            <v>5.0641499999999997</v>
          </cell>
          <cell r="EN78">
            <v>4.5219199999999997</v>
          </cell>
          <cell r="EO78">
            <v>8.8734769</v>
          </cell>
          <cell r="EP78">
            <v>6.6901219999999997</v>
          </cell>
          <cell r="EQ78">
            <v>6.9989245000000002</v>
          </cell>
          <cell r="ER78" t="str">
            <v>nd</v>
          </cell>
          <cell r="ES78" t="str">
            <v>nd</v>
          </cell>
          <cell r="ET78">
            <v>0</v>
          </cell>
          <cell r="EU78" t="str">
            <v>nd</v>
          </cell>
          <cell r="EV78" t="str">
            <v>nd</v>
          </cell>
          <cell r="EW78" t="str">
            <v>nd</v>
          </cell>
          <cell r="EX78">
            <v>0</v>
          </cell>
          <cell r="EY78">
            <v>0</v>
          </cell>
          <cell r="EZ78">
            <v>0</v>
          </cell>
          <cell r="FA78">
            <v>0</v>
          </cell>
          <cell r="FB78" t="str">
            <v>nd</v>
          </cell>
          <cell r="FC78" t="str">
            <v>nd</v>
          </cell>
          <cell r="FD78" t="str">
            <v>nd</v>
          </cell>
          <cell r="FE78">
            <v>3.56521</v>
          </cell>
          <cell r="FF78">
            <v>2.8374799999999998</v>
          </cell>
          <cell r="FG78">
            <v>1.9680099999999998</v>
          </cell>
          <cell r="FH78">
            <v>4.3302199999999997</v>
          </cell>
          <cell r="FI78">
            <v>12.190033</v>
          </cell>
          <cell r="FJ78">
            <v>7.3347255999999996</v>
          </cell>
          <cell r="FK78">
            <v>6.1485799999999999</v>
          </cell>
          <cell r="FL78">
            <v>7.2864551999999998</v>
          </cell>
          <cell r="FM78">
            <v>4.1195500000000003</v>
          </cell>
          <cell r="FN78">
            <v>2.5364999999999998</v>
          </cell>
          <cell r="FO78">
            <v>11.273853300000001</v>
          </cell>
          <cell r="FP78">
            <v>10.0244891</v>
          </cell>
          <cell r="FQ78">
            <v>6.2587478000000001</v>
          </cell>
          <cell r="FR78">
            <v>4.4021299999999997</v>
          </cell>
          <cell r="FS78">
            <v>3.88706</v>
          </cell>
          <cell r="FT78">
            <v>3.5325099999999998</v>
          </cell>
          <cell r="FU78" t="str">
            <v>nd</v>
          </cell>
          <cell r="FV78" t="str">
            <v>nd</v>
          </cell>
          <cell r="FW78" t="str">
            <v>nd</v>
          </cell>
          <cell r="FX78">
            <v>0</v>
          </cell>
          <cell r="FY78" t="str">
            <v>nd</v>
          </cell>
          <cell r="FZ78">
            <v>0</v>
          </cell>
          <cell r="GA78" t="str">
            <v>nd</v>
          </cell>
          <cell r="GB78">
            <v>0</v>
          </cell>
          <cell r="GC78">
            <v>0</v>
          </cell>
          <cell r="GD78">
            <v>0</v>
          </cell>
          <cell r="GE78">
            <v>0</v>
          </cell>
          <cell r="GF78" t="str">
            <v>nd</v>
          </cell>
          <cell r="GG78" t="str">
            <v>nd</v>
          </cell>
          <cell r="GH78" t="str">
            <v>nd</v>
          </cell>
          <cell r="GI78">
            <v>4.1646000000000001</v>
          </cell>
          <cell r="GJ78">
            <v>2.28715</v>
          </cell>
          <cell r="GK78">
            <v>8.2997817999999999</v>
          </cell>
          <cell r="GL78">
            <v>0</v>
          </cell>
          <cell r="GM78" t="str">
            <v>nd</v>
          </cell>
          <cell r="GN78" t="str">
            <v>nd</v>
          </cell>
          <cell r="GO78">
            <v>3.6672799999999999</v>
          </cell>
          <cell r="GP78">
            <v>8.6667313000000004</v>
          </cell>
          <cell r="GQ78">
            <v>22.2480844</v>
          </cell>
          <cell r="GR78">
            <v>0</v>
          </cell>
          <cell r="GS78">
            <v>0</v>
          </cell>
          <cell r="GT78">
            <v>0</v>
          </cell>
          <cell r="GU78" t="str">
            <v>nd</v>
          </cell>
          <cell r="GV78">
            <v>6.4475455000000004</v>
          </cell>
          <cell r="GW78">
            <v>32.249895500000001</v>
          </cell>
          <cell r="GX78">
            <v>0</v>
          </cell>
          <cell r="GY78">
            <v>0</v>
          </cell>
          <cell r="GZ78">
            <v>0</v>
          </cell>
          <cell r="HA78">
            <v>0</v>
          </cell>
          <cell r="HB78">
            <v>0</v>
          </cell>
          <cell r="HC78">
            <v>3.9772500000000002</v>
          </cell>
          <cell r="HD78">
            <v>0</v>
          </cell>
          <cell r="HE78">
            <v>0</v>
          </cell>
          <cell r="HF78">
            <v>0</v>
          </cell>
          <cell r="HG78">
            <v>0</v>
          </cell>
          <cell r="HH78">
            <v>0</v>
          </cell>
          <cell r="HI78">
            <v>0</v>
          </cell>
          <cell r="HJ78">
            <v>0</v>
          </cell>
          <cell r="HK78">
            <v>0</v>
          </cell>
          <cell r="HL78">
            <v>0</v>
          </cell>
          <cell r="HM78" t="str">
            <v>nd</v>
          </cell>
          <cell r="HN78">
            <v>15.086103400000001</v>
          </cell>
          <cell r="HO78">
            <v>0</v>
          </cell>
          <cell r="HP78">
            <v>0</v>
          </cell>
          <cell r="HQ78">
            <v>0</v>
          </cell>
          <cell r="HR78">
            <v>0</v>
          </cell>
          <cell r="HS78">
            <v>11.834990900000001</v>
          </cell>
          <cell r="HT78">
            <v>26.415019600000001</v>
          </cell>
          <cell r="HU78">
            <v>0</v>
          </cell>
          <cell r="HV78">
            <v>0</v>
          </cell>
          <cell r="HW78">
            <v>0</v>
          </cell>
          <cell r="HX78" t="str">
            <v>nd</v>
          </cell>
          <cell r="HY78">
            <v>8.3500613999999995</v>
          </cell>
          <cell r="HZ78">
            <v>31.284455900000001</v>
          </cell>
          <cell r="IA78">
            <v>0</v>
          </cell>
          <cell r="IB78">
            <v>0</v>
          </cell>
          <cell r="IC78">
            <v>0</v>
          </cell>
          <cell r="ID78">
            <v>0</v>
          </cell>
          <cell r="IE78" t="str">
            <v>nd</v>
          </cell>
          <cell r="IF78">
            <v>2.8233000000000001</v>
          </cell>
          <cell r="IG78">
            <v>0</v>
          </cell>
          <cell r="IH78">
            <v>0</v>
          </cell>
          <cell r="II78">
            <v>0</v>
          </cell>
          <cell r="IJ78">
            <v>0</v>
          </cell>
          <cell r="IK78" t="str">
            <v>nd</v>
          </cell>
          <cell r="IL78">
            <v>0</v>
          </cell>
          <cell r="IM78">
            <v>0</v>
          </cell>
          <cell r="IN78" t="str">
            <v>nd</v>
          </cell>
          <cell r="IO78" t="str">
            <v>nd</v>
          </cell>
          <cell r="IP78">
            <v>10.148456299999999</v>
          </cell>
          <cell r="IQ78">
            <v>5.6734600000000004</v>
          </cell>
          <cell r="IR78">
            <v>0</v>
          </cell>
          <cell r="IS78">
            <v>0</v>
          </cell>
          <cell r="IT78">
            <v>0</v>
          </cell>
          <cell r="IU78">
            <v>6.3101041999999996</v>
          </cell>
          <cell r="IV78">
            <v>24.078059</v>
          </cell>
          <cell r="IW78">
            <v>10.519415</v>
          </cell>
          <cell r="IX78">
            <v>0</v>
          </cell>
          <cell r="IY78">
            <v>0</v>
          </cell>
          <cell r="IZ78">
            <v>0</v>
          </cell>
          <cell r="JA78">
            <v>2.7707800000000002</v>
          </cell>
          <cell r="JB78">
            <v>11.286095400000001</v>
          </cell>
          <cell r="JC78">
            <v>22.8347297</v>
          </cell>
          <cell r="JD78">
            <v>0</v>
          </cell>
          <cell r="JE78">
            <v>0</v>
          </cell>
          <cell r="JF78">
            <v>0</v>
          </cell>
          <cell r="JG78">
            <v>0</v>
          </cell>
          <cell r="JH78">
            <v>2.5537299999999998</v>
          </cell>
          <cell r="JI78" t="str">
            <v>nd</v>
          </cell>
          <cell r="JJ78">
            <v>0</v>
          </cell>
          <cell r="JK78">
            <v>0</v>
          </cell>
          <cell r="JL78">
            <v>0</v>
          </cell>
          <cell r="JM78">
            <v>0</v>
          </cell>
          <cell r="JN78" t="str">
            <v>nd</v>
          </cell>
          <cell r="JO78">
            <v>0</v>
          </cell>
          <cell r="JP78">
            <v>0</v>
          </cell>
          <cell r="JQ78">
            <v>0</v>
          </cell>
          <cell r="JR78">
            <v>0</v>
          </cell>
          <cell r="JS78">
            <v>0</v>
          </cell>
          <cell r="JT78">
            <v>18.037424699999999</v>
          </cell>
          <cell r="JU78">
            <v>0</v>
          </cell>
          <cell r="JV78">
            <v>0</v>
          </cell>
          <cell r="JW78">
            <v>0</v>
          </cell>
          <cell r="JX78">
            <v>0</v>
          </cell>
          <cell r="JY78" t="str">
            <v>nd</v>
          </cell>
          <cell r="JZ78">
            <v>33.304666599999997</v>
          </cell>
          <cell r="KA78">
            <v>0</v>
          </cell>
          <cell r="KB78">
            <v>0</v>
          </cell>
          <cell r="KC78">
            <v>0</v>
          </cell>
          <cell r="KD78">
            <v>0</v>
          </cell>
          <cell r="KE78">
            <v>0</v>
          </cell>
          <cell r="KF78">
            <v>41.9976232</v>
          </cell>
          <cell r="KG78">
            <v>0</v>
          </cell>
          <cell r="KH78">
            <v>0</v>
          </cell>
          <cell r="KI78">
            <v>0</v>
          </cell>
          <cell r="KJ78">
            <v>0</v>
          </cell>
          <cell r="KK78">
            <v>0</v>
          </cell>
          <cell r="KL78">
            <v>4.7574199999999998</v>
          </cell>
          <cell r="KM78">
            <v>40.1</v>
          </cell>
          <cell r="KN78">
            <v>48.9</v>
          </cell>
          <cell r="KO78">
            <v>5.7</v>
          </cell>
          <cell r="KP78">
            <v>1.0999999999999999</v>
          </cell>
          <cell r="KQ78">
            <v>4.3</v>
          </cell>
          <cell r="KR78">
            <v>0</v>
          </cell>
          <cell r="KS78">
            <v>41.099999999999994</v>
          </cell>
          <cell r="KT78">
            <v>47.099999999999994</v>
          </cell>
          <cell r="KU78">
            <v>6</v>
          </cell>
          <cell r="KV78">
            <v>1.0999999999999999</v>
          </cell>
          <cell r="KW78">
            <v>4.7</v>
          </cell>
          <cell r="KX78">
            <v>0</v>
          </cell>
          <cell r="KY78"/>
          <cell r="KZ78"/>
          <cell r="LA78"/>
          <cell r="LB78"/>
          <cell r="LC78"/>
          <cell r="LD78"/>
          <cell r="LE78"/>
          <cell r="LF78"/>
          <cell r="LG78"/>
          <cell r="LH78"/>
          <cell r="LI78"/>
          <cell r="LJ78"/>
          <cell r="LK78"/>
          <cell r="LL78"/>
          <cell r="LM78"/>
          <cell r="LN78"/>
          <cell r="LO78"/>
        </row>
        <row r="79">
          <cell r="A79" t="str">
            <v>2JZ</v>
          </cell>
          <cell r="B79" t="str">
            <v>79</v>
          </cell>
          <cell r="C79" t="str">
            <v>NAF 17</v>
          </cell>
          <cell r="D79" t="str">
            <v>JZ</v>
          </cell>
          <cell r="E79" t="str">
            <v>2</v>
          </cell>
          <cell r="F79" t="str">
            <v>nd</v>
          </cell>
          <cell r="G79">
            <v>15.7</v>
          </cell>
          <cell r="H79">
            <v>40.6</v>
          </cell>
          <cell r="I79">
            <v>34.9</v>
          </cell>
          <cell r="J79">
            <v>7.8</v>
          </cell>
          <cell r="K79">
            <v>81.899999999999991</v>
          </cell>
          <cell r="L79">
            <v>14.499999999999998</v>
          </cell>
          <cell r="M79">
            <v>3.5999999999999996</v>
          </cell>
          <cell r="N79">
            <v>0</v>
          </cell>
          <cell r="O79">
            <v>38.5</v>
          </cell>
          <cell r="P79">
            <v>20.200000000000003</v>
          </cell>
          <cell r="Q79">
            <v>8.4</v>
          </cell>
          <cell r="R79">
            <v>6.8000000000000007</v>
          </cell>
          <cell r="S79">
            <v>3.9</v>
          </cell>
          <cell r="T79">
            <v>49.5</v>
          </cell>
          <cell r="U79">
            <v>6.4</v>
          </cell>
          <cell r="V79">
            <v>21.8</v>
          </cell>
          <cell r="W79">
            <v>11.4</v>
          </cell>
          <cell r="X79">
            <v>79</v>
          </cell>
          <cell r="Y79">
            <v>9.6</v>
          </cell>
          <cell r="Z79">
            <v>19.3</v>
          </cell>
          <cell r="AA79" t="str">
            <v>nd</v>
          </cell>
          <cell r="AB79">
            <v>29.799999999999997</v>
          </cell>
          <cell r="AC79">
            <v>71.899999999999991</v>
          </cell>
          <cell r="AD79" t="str">
            <v>nd</v>
          </cell>
          <cell r="AE79">
            <v>59.9</v>
          </cell>
          <cell r="AF79">
            <v>40.1</v>
          </cell>
          <cell r="AG79">
            <v>29.5</v>
          </cell>
          <cell r="AH79">
            <v>70.5</v>
          </cell>
          <cell r="AI79">
            <v>67.5</v>
          </cell>
          <cell r="AJ79">
            <v>13</v>
          </cell>
          <cell r="AK79" t="str">
            <v>nd</v>
          </cell>
          <cell r="AL79">
            <v>12</v>
          </cell>
          <cell r="AM79">
            <v>5.2</v>
          </cell>
          <cell r="AN79">
            <v>9.1999999999999993</v>
          </cell>
          <cell r="AO79">
            <v>4.2</v>
          </cell>
          <cell r="AP79">
            <v>6.7</v>
          </cell>
          <cell r="AQ79">
            <v>73</v>
          </cell>
          <cell r="AR79">
            <v>7.0000000000000009</v>
          </cell>
          <cell r="AS79">
            <v>22.7</v>
          </cell>
          <cell r="AT79">
            <v>10.5</v>
          </cell>
          <cell r="AU79">
            <v>10.8</v>
          </cell>
          <cell r="AV79">
            <v>16.8</v>
          </cell>
          <cell r="AW79">
            <v>22.400000000000002</v>
          </cell>
          <cell r="AX79">
            <v>16.900000000000002</v>
          </cell>
          <cell r="AY79">
            <v>34.4</v>
          </cell>
          <cell r="AZ79">
            <v>13.4</v>
          </cell>
          <cell r="BA79">
            <v>12.8</v>
          </cell>
          <cell r="BB79">
            <v>10.299999999999999</v>
          </cell>
          <cell r="BC79">
            <v>15.2</v>
          </cell>
          <cell r="BD79">
            <v>13.900000000000002</v>
          </cell>
          <cell r="BE79">
            <v>0</v>
          </cell>
          <cell r="BF79">
            <v>2.7</v>
          </cell>
          <cell r="BG79" t="str">
            <v>nd</v>
          </cell>
          <cell r="BH79">
            <v>6.5</v>
          </cell>
          <cell r="BI79">
            <v>36.5</v>
          </cell>
          <cell r="BJ79">
            <v>53.6</v>
          </cell>
          <cell r="BK79">
            <v>0</v>
          </cell>
          <cell r="BL79">
            <v>0</v>
          </cell>
          <cell r="BM79">
            <v>0</v>
          </cell>
          <cell r="BN79" t="str">
            <v>nd</v>
          </cell>
          <cell r="BO79">
            <v>32.9</v>
          </cell>
          <cell r="BP79">
            <v>66.900000000000006</v>
          </cell>
          <cell r="BQ79">
            <v>0</v>
          </cell>
          <cell r="BR79">
            <v>0</v>
          </cell>
          <cell r="BS79" t="str">
            <v>nd</v>
          </cell>
          <cell r="BT79">
            <v>15</v>
          </cell>
          <cell r="BU79">
            <v>57.499999999999993</v>
          </cell>
          <cell r="BV79">
            <v>26.900000000000002</v>
          </cell>
          <cell r="BW79">
            <v>0</v>
          </cell>
          <cell r="BX79">
            <v>0</v>
          </cell>
          <cell r="BY79">
            <v>0</v>
          </cell>
          <cell r="BZ79">
            <v>0</v>
          </cell>
          <cell r="CA79" t="str">
            <v>nd</v>
          </cell>
          <cell r="CB79">
            <v>99.7</v>
          </cell>
          <cell r="CC79">
            <v>7.3999999999999995</v>
          </cell>
          <cell r="CD79">
            <v>8.4</v>
          </cell>
          <cell r="CE79">
            <v>0</v>
          </cell>
          <cell r="CF79" t="str">
            <v>nd</v>
          </cell>
          <cell r="CG79">
            <v>0</v>
          </cell>
          <cell r="CH79">
            <v>19.3</v>
          </cell>
          <cell r="CI79">
            <v>11.200000000000001</v>
          </cell>
          <cell r="CJ79">
            <v>70.5</v>
          </cell>
          <cell r="CK79">
            <v>27.700000000000003</v>
          </cell>
          <cell r="CL79">
            <v>4.2</v>
          </cell>
          <cell r="CM79" t="str">
            <v>nd</v>
          </cell>
          <cell r="CN79" t="str">
            <v>nd</v>
          </cell>
          <cell r="CO79">
            <v>73</v>
          </cell>
          <cell r="CP79">
            <v>30.7</v>
          </cell>
          <cell r="CQ79">
            <v>23.7</v>
          </cell>
          <cell r="CR79">
            <v>7.1999999999999993</v>
          </cell>
          <cell r="CS79">
            <v>38.4</v>
          </cell>
          <cell r="CT79">
            <v>21.3</v>
          </cell>
          <cell r="CU79">
            <v>78.7</v>
          </cell>
          <cell r="CV79">
            <v>23.9</v>
          </cell>
          <cell r="CW79">
            <v>76.099999999999994</v>
          </cell>
          <cell r="CX79">
            <v>22.900000000000002</v>
          </cell>
          <cell r="CY79">
            <v>23.1</v>
          </cell>
          <cell r="CZ79">
            <v>53.900000000000006</v>
          </cell>
          <cell r="DA79">
            <v>24.5</v>
          </cell>
          <cell r="DB79" t="str">
            <v>nd</v>
          </cell>
          <cell r="DC79">
            <v>5.2</v>
          </cell>
          <cell r="DD79">
            <v>0</v>
          </cell>
          <cell r="DE79">
            <v>86.3</v>
          </cell>
          <cell r="DF79">
            <v>11.799999999999999</v>
          </cell>
          <cell r="DG79">
            <v>3.5000000000000004</v>
          </cell>
          <cell r="DH79">
            <v>17.399999999999999</v>
          </cell>
          <cell r="DI79">
            <v>24.4</v>
          </cell>
          <cell r="DJ79">
            <v>22.7</v>
          </cell>
          <cell r="DK79">
            <v>20.200000000000003</v>
          </cell>
          <cell r="DL79">
            <v>16</v>
          </cell>
          <cell r="DM79">
            <v>50.7</v>
          </cell>
          <cell r="DN79">
            <v>7.0000000000000009</v>
          </cell>
          <cell r="DO79">
            <v>20.3</v>
          </cell>
          <cell r="DP79">
            <v>14.299999999999999</v>
          </cell>
          <cell r="DQ79">
            <v>2.5</v>
          </cell>
          <cell r="DR79">
            <v>4.3</v>
          </cell>
          <cell r="DS79">
            <v>18.399999999999999</v>
          </cell>
          <cell r="DT79">
            <v>16.3</v>
          </cell>
          <cell r="DU79" t="str">
            <v>nd</v>
          </cell>
          <cell r="DV79">
            <v>0</v>
          </cell>
          <cell r="DW79">
            <v>0</v>
          </cell>
          <cell r="DX79">
            <v>0</v>
          </cell>
          <cell r="DY79">
            <v>0</v>
          </cell>
          <cell r="DZ79">
            <v>2.0766100000000001</v>
          </cell>
          <cell r="EA79" t="str">
            <v>nd</v>
          </cell>
          <cell r="EB79" t="str">
            <v>nd</v>
          </cell>
          <cell r="EC79">
            <v>4.1393300000000002</v>
          </cell>
          <cell r="ED79">
            <v>7.6064814999999992</v>
          </cell>
          <cell r="EE79" t="str">
            <v>nd</v>
          </cell>
          <cell r="EF79">
            <v>5.0967400000000005</v>
          </cell>
          <cell r="EG79">
            <v>5.3906499999999999</v>
          </cell>
          <cell r="EH79">
            <v>6.4122513000000003</v>
          </cell>
          <cell r="EI79">
            <v>8.0342427000000001</v>
          </cell>
          <cell r="EJ79">
            <v>7.5112095999999999</v>
          </cell>
          <cell r="EK79">
            <v>8.0215601000000003</v>
          </cell>
          <cell r="EL79">
            <v>12.162172699999999</v>
          </cell>
          <cell r="EM79">
            <v>2.64636</v>
          </cell>
          <cell r="EN79">
            <v>2.43642</v>
          </cell>
          <cell r="EO79" t="str">
            <v>nd</v>
          </cell>
          <cell r="EP79">
            <v>7.2496454999999997</v>
          </cell>
          <cell r="EQ79">
            <v>7.1951536999999997</v>
          </cell>
          <cell r="ER79">
            <v>2.4144200000000002</v>
          </cell>
          <cell r="ES79" t="str">
            <v>nd</v>
          </cell>
          <cell r="ET79" t="str">
            <v>nd</v>
          </cell>
          <cell r="EU79" t="str">
            <v>nd</v>
          </cell>
          <cell r="EV79">
            <v>0</v>
          </cell>
          <cell r="EW79" t="str">
            <v>nd</v>
          </cell>
          <cell r="EX79">
            <v>0</v>
          </cell>
          <cell r="EY79">
            <v>0</v>
          </cell>
          <cell r="EZ79">
            <v>0</v>
          </cell>
          <cell r="FA79">
            <v>0</v>
          </cell>
          <cell r="FB79" t="str">
            <v>nd</v>
          </cell>
          <cell r="FC79">
            <v>4.7050400000000003</v>
          </cell>
          <cell r="FD79" t="str">
            <v>nd</v>
          </cell>
          <cell r="FE79" t="str">
            <v>nd</v>
          </cell>
          <cell r="FF79">
            <v>2.0895700000000001</v>
          </cell>
          <cell r="FG79">
            <v>2.0016400000000001</v>
          </cell>
          <cell r="FH79">
            <v>3.8481200000000002</v>
          </cell>
          <cell r="FI79">
            <v>14.7986205</v>
          </cell>
          <cell r="FJ79">
            <v>8.5771979999999992</v>
          </cell>
          <cell r="FK79">
            <v>3.0524100000000001</v>
          </cell>
          <cell r="FL79">
            <v>7.003509300000001</v>
          </cell>
          <cell r="FM79">
            <v>3.8302500000000004</v>
          </cell>
          <cell r="FN79">
            <v>4.51335</v>
          </cell>
          <cell r="FO79">
            <v>12.688786199999999</v>
          </cell>
          <cell r="FP79">
            <v>1.5896699999999999</v>
          </cell>
          <cell r="FQ79">
            <v>6.6721827999999999</v>
          </cell>
          <cell r="FR79">
            <v>1.25396</v>
          </cell>
          <cell r="FS79">
            <v>9.2851198000000004</v>
          </cell>
          <cell r="FT79">
            <v>2.4295100000000001</v>
          </cell>
          <cell r="FU79" t="str">
            <v>nd</v>
          </cell>
          <cell r="FV79" t="str">
            <v>nd</v>
          </cell>
          <cell r="FW79" t="str">
            <v>nd</v>
          </cell>
          <cell r="FX79">
            <v>0</v>
          </cell>
          <cell r="FY79" t="str">
            <v>nd</v>
          </cell>
          <cell r="FZ79" t="str">
            <v>nd</v>
          </cell>
          <cell r="GA79">
            <v>0</v>
          </cell>
          <cell r="GB79" t="str">
            <v>nd</v>
          </cell>
          <cell r="GC79">
            <v>0</v>
          </cell>
          <cell r="GD79">
            <v>0</v>
          </cell>
          <cell r="GE79">
            <v>0</v>
          </cell>
          <cell r="GF79">
            <v>0</v>
          </cell>
          <cell r="GG79">
            <v>2.6626300000000001</v>
          </cell>
          <cell r="GH79" t="str">
            <v>nd</v>
          </cell>
          <cell r="GI79" t="str">
            <v>nd</v>
          </cell>
          <cell r="GJ79">
            <v>5.3021000000000003</v>
          </cell>
          <cell r="GK79">
            <v>5.5251900000000003</v>
          </cell>
          <cell r="GL79">
            <v>0</v>
          </cell>
          <cell r="GM79">
            <v>0</v>
          </cell>
          <cell r="GN79">
            <v>0</v>
          </cell>
          <cell r="GO79">
            <v>4.5022199999999994</v>
          </cell>
          <cell r="GP79">
            <v>19.242791</v>
          </cell>
          <cell r="GQ79">
            <v>18.414837599999998</v>
          </cell>
          <cell r="GR79">
            <v>0</v>
          </cell>
          <cell r="GS79">
            <v>0</v>
          </cell>
          <cell r="GT79">
            <v>0</v>
          </cell>
          <cell r="GU79">
            <v>0</v>
          </cell>
          <cell r="GV79">
            <v>8.4138300000000008</v>
          </cell>
          <cell r="GW79">
            <v>23.527280000000001</v>
          </cell>
          <cell r="GX79">
            <v>0</v>
          </cell>
          <cell r="GY79">
            <v>0</v>
          </cell>
          <cell r="GZ79">
            <v>0</v>
          </cell>
          <cell r="HA79">
            <v>0</v>
          </cell>
          <cell r="HB79" t="str">
            <v>nd</v>
          </cell>
          <cell r="HC79">
            <v>6.0906700000000003</v>
          </cell>
          <cell r="HD79">
            <v>0</v>
          </cell>
          <cell r="HE79">
            <v>0</v>
          </cell>
          <cell r="HF79">
            <v>0</v>
          </cell>
          <cell r="HG79">
            <v>0</v>
          </cell>
          <cell r="HH79" t="str">
            <v>nd</v>
          </cell>
          <cell r="HI79">
            <v>0</v>
          </cell>
          <cell r="HJ79">
            <v>0</v>
          </cell>
          <cell r="HK79">
            <v>0</v>
          </cell>
          <cell r="HL79">
            <v>0</v>
          </cell>
          <cell r="HM79">
            <v>6.5608441000000006</v>
          </cell>
          <cell r="HN79">
            <v>8.7361314999999991</v>
          </cell>
          <cell r="HO79">
            <v>0</v>
          </cell>
          <cell r="HP79">
            <v>0</v>
          </cell>
          <cell r="HQ79">
            <v>0</v>
          </cell>
          <cell r="HR79" t="str">
            <v>nd</v>
          </cell>
          <cell r="HS79">
            <v>14.477535699999999</v>
          </cell>
          <cell r="HT79">
            <v>28.661269999999998</v>
          </cell>
          <cell r="HU79">
            <v>0</v>
          </cell>
          <cell r="HV79">
            <v>0</v>
          </cell>
          <cell r="HW79">
            <v>0</v>
          </cell>
          <cell r="HX79">
            <v>0</v>
          </cell>
          <cell r="HY79">
            <v>8.9617710000000006</v>
          </cell>
          <cell r="HZ79">
            <v>23.8991249</v>
          </cell>
          <cell r="IA79">
            <v>0</v>
          </cell>
          <cell r="IB79">
            <v>0</v>
          </cell>
          <cell r="IC79">
            <v>0</v>
          </cell>
          <cell r="ID79">
            <v>0</v>
          </cell>
          <cell r="IE79">
            <v>2.9395000000000002</v>
          </cell>
          <cell r="IF79">
            <v>4.6981700000000002</v>
          </cell>
          <cell r="IG79">
            <v>0</v>
          </cell>
          <cell r="IH79" t="str">
            <v>nd</v>
          </cell>
          <cell r="II79">
            <v>0</v>
          </cell>
          <cell r="IJ79">
            <v>0</v>
          </cell>
          <cell r="IK79">
            <v>0</v>
          </cell>
          <cell r="IL79">
            <v>0</v>
          </cell>
          <cell r="IM79">
            <v>0</v>
          </cell>
          <cell r="IN79">
            <v>0</v>
          </cell>
          <cell r="IO79">
            <v>0</v>
          </cell>
          <cell r="IP79">
            <v>9.3718757999999998</v>
          </cell>
          <cell r="IQ79">
            <v>5.4567399999999999</v>
          </cell>
          <cell r="IR79">
            <v>0</v>
          </cell>
          <cell r="IS79">
            <v>0</v>
          </cell>
          <cell r="IT79" t="str">
            <v>nd</v>
          </cell>
          <cell r="IU79">
            <v>7.4906395999999997</v>
          </cell>
          <cell r="IV79">
            <v>24.303322099999999</v>
          </cell>
          <cell r="IW79">
            <v>11.713518500000001</v>
          </cell>
          <cell r="IX79">
            <v>0</v>
          </cell>
          <cell r="IY79">
            <v>0</v>
          </cell>
          <cell r="IZ79">
            <v>0</v>
          </cell>
          <cell r="JA79">
            <v>2.98129</v>
          </cell>
          <cell r="JB79">
            <v>19.8719094</v>
          </cell>
          <cell r="JC79">
            <v>9.7691972000000007</v>
          </cell>
          <cell r="JD79">
            <v>0</v>
          </cell>
          <cell r="JE79">
            <v>0</v>
          </cell>
          <cell r="JF79">
            <v>0</v>
          </cell>
          <cell r="JG79">
            <v>4.4642200000000001</v>
          </cell>
          <cell r="JH79">
            <v>3.1297699999999997</v>
          </cell>
          <cell r="JI79">
            <v>0</v>
          </cell>
          <cell r="JJ79">
            <v>0</v>
          </cell>
          <cell r="JK79">
            <v>0</v>
          </cell>
          <cell r="JL79">
            <v>0</v>
          </cell>
          <cell r="JM79">
            <v>0</v>
          </cell>
          <cell r="JN79" t="str">
            <v>nd</v>
          </cell>
          <cell r="JO79">
            <v>0</v>
          </cell>
          <cell r="JP79">
            <v>0</v>
          </cell>
          <cell r="JQ79">
            <v>0</v>
          </cell>
          <cell r="JR79">
            <v>0</v>
          </cell>
          <cell r="JS79" t="str">
            <v>nd</v>
          </cell>
          <cell r="JT79">
            <v>13.158758600000001</v>
          </cell>
          <cell r="JU79">
            <v>0</v>
          </cell>
          <cell r="JV79">
            <v>0</v>
          </cell>
          <cell r="JW79">
            <v>0</v>
          </cell>
          <cell r="JX79">
            <v>0</v>
          </cell>
          <cell r="JY79">
            <v>0</v>
          </cell>
          <cell r="JZ79">
            <v>44.821324600000004</v>
          </cell>
          <cell r="KA79">
            <v>0</v>
          </cell>
          <cell r="KB79">
            <v>0</v>
          </cell>
          <cell r="KC79">
            <v>0</v>
          </cell>
          <cell r="KD79">
            <v>0</v>
          </cell>
          <cell r="KE79">
            <v>0</v>
          </cell>
          <cell r="KF79">
            <v>32.885282599999996</v>
          </cell>
          <cell r="KG79">
            <v>0</v>
          </cell>
          <cell r="KH79">
            <v>0</v>
          </cell>
          <cell r="KI79">
            <v>0</v>
          </cell>
          <cell r="KJ79">
            <v>0</v>
          </cell>
          <cell r="KK79">
            <v>0</v>
          </cell>
          <cell r="KL79">
            <v>7.9132509000000004</v>
          </cell>
          <cell r="KM79">
            <v>38</v>
          </cell>
          <cell r="KN79">
            <v>48.6</v>
          </cell>
          <cell r="KO79">
            <v>5.2</v>
          </cell>
          <cell r="KP79">
            <v>2.2999999999999998</v>
          </cell>
          <cell r="KQ79">
            <v>5.8999999999999995</v>
          </cell>
          <cell r="KR79">
            <v>0</v>
          </cell>
          <cell r="KS79">
            <v>38.200000000000003</v>
          </cell>
          <cell r="KT79">
            <v>47.5</v>
          </cell>
          <cell r="KU79">
            <v>5.4</v>
          </cell>
          <cell r="KV79">
            <v>2.1999999999999997</v>
          </cell>
          <cell r="KW79">
            <v>6.7</v>
          </cell>
          <cell r="KX79">
            <v>0</v>
          </cell>
          <cell r="KY79"/>
          <cell r="KZ79"/>
          <cell r="LA79"/>
          <cell r="LB79"/>
          <cell r="LC79"/>
          <cell r="LD79"/>
          <cell r="LE79"/>
          <cell r="LF79"/>
          <cell r="LG79"/>
          <cell r="LH79"/>
          <cell r="LI79"/>
          <cell r="LJ79"/>
          <cell r="LK79"/>
          <cell r="LL79"/>
          <cell r="LM79"/>
          <cell r="LN79"/>
          <cell r="LO79"/>
        </row>
        <row r="80">
          <cell r="A80" t="str">
            <v>3JZ</v>
          </cell>
          <cell r="B80" t="str">
            <v>80</v>
          </cell>
          <cell r="C80" t="str">
            <v>NAF 17</v>
          </cell>
          <cell r="D80" t="str">
            <v>JZ</v>
          </cell>
          <cell r="E80" t="str">
            <v>3</v>
          </cell>
          <cell r="F80" t="str">
            <v>nd</v>
          </cell>
          <cell r="G80">
            <v>6.5</v>
          </cell>
          <cell r="H80">
            <v>46.6</v>
          </cell>
          <cell r="I80">
            <v>41.3</v>
          </cell>
          <cell r="J80">
            <v>5</v>
          </cell>
          <cell r="K80">
            <v>81.8</v>
          </cell>
          <cell r="L80">
            <v>14.000000000000002</v>
          </cell>
          <cell r="M80" t="str">
            <v>nd</v>
          </cell>
          <cell r="N80" t="str">
            <v>nd</v>
          </cell>
          <cell r="O80">
            <v>37.6</v>
          </cell>
          <cell r="P80">
            <v>24.099999999999998</v>
          </cell>
          <cell r="Q80">
            <v>10.8</v>
          </cell>
          <cell r="R80">
            <v>11.700000000000001</v>
          </cell>
          <cell r="S80" t="str">
            <v>nd</v>
          </cell>
          <cell r="T80">
            <v>46.9</v>
          </cell>
          <cell r="U80">
            <v>4.3</v>
          </cell>
          <cell r="V80">
            <v>19</v>
          </cell>
          <cell r="W80">
            <v>20.8</v>
          </cell>
          <cell r="X80">
            <v>72.3</v>
          </cell>
          <cell r="Y80">
            <v>6.9</v>
          </cell>
          <cell r="Z80">
            <v>22.1</v>
          </cell>
          <cell r="AA80">
            <v>5.3</v>
          </cell>
          <cell r="AB80">
            <v>21.6</v>
          </cell>
          <cell r="AC80">
            <v>65.900000000000006</v>
          </cell>
          <cell r="AD80">
            <v>48.6</v>
          </cell>
          <cell r="AE80">
            <v>64.400000000000006</v>
          </cell>
          <cell r="AF80">
            <v>35.6</v>
          </cell>
          <cell r="AG80">
            <v>27.500000000000004</v>
          </cell>
          <cell r="AH80">
            <v>72.5</v>
          </cell>
          <cell r="AI80">
            <v>69.5</v>
          </cell>
          <cell r="AJ80" t="str">
            <v>nd</v>
          </cell>
          <cell r="AK80" t="str">
            <v>nd</v>
          </cell>
          <cell r="AL80">
            <v>21.7</v>
          </cell>
          <cell r="AM80">
            <v>5.8000000000000007</v>
          </cell>
          <cell r="AN80">
            <v>32.300000000000004</v>
          </cell>
          <cell r="AO80">
            <v>9.3000000000000007</v>
          </cell>
          <cell r="AP80" t="str">
            <v>nd</v>
          </cell>
          <cell r="AQ80">
            <v>52.300000000000004</v>
          </cell>
          <cell r="AR80" t="str">
            <v>nd</v>
          </cell>
          <cell r="AS80">
            <v>13.100000000000001</v>
          </cell>
          <cell r="AT80">
            <v>14.000000000000002</v>
          </cell>
          <cell r="AU80">
            <v>10.299999999999999</v>
          </cell>
          <cell r="AV80">
            <v>22.8</v>
          </cell>
          <cell r="AW80">
            <v>31.4</v>
          </cell>
          <cell r="AX80">
            <v>8.4</v>
          </cell>
          <cell r="AY80">
            <v>36.799999999999997</v>
          </cell>
          <cell r="AZ80">
            <v>33</v>
          </cell>
          <cell r="BA80">
            <v>6.1</v>
          </cell>
          <cell r="BB80">
            <v>9.1</v>
          </cell>
          <cell r="BC80">
            <v>8.9</v>
          </cell>
          <cell r="BD80">
            <v>6.1</v>
          </cell>
          <cell r="BE80">
            <v>0</v>
          </cell>
          <cell r="BF80">
            <v>0</v>
          </cell>
          <cell r="BG80">
            <v>5.0999999999999996</v>
          </cell>
          <cell r="BH80">
            <v>12</v>
          </cell>
          <cell r="BI80">
            <v>28.499999999999996</v>
          </cell>
          <cell r="BJ80">
            <v>54.400000000000006</v>
          </cell>
          <cell r="BK80">
            <v>0</v>
          </cell>
          <cell r="BL80">
            <v>0</v>
          </cell>
          <cell r="BM80">
            <v>0</v>
          </cell>
          <cell r="BN80">
            <v>0</v>
          </cell>
          <cell r="BO80">
            <v>52.1</v>
          </cell>
          <cell r="BP80">
            <v>47.9</v>
          </cell>
          <cell r="BQ80">
            <v>0</v>
          </cell>
          <cell r="BR80" t="str">
            <v>nd</v>
          </cell>
          <cell r="BS80" t="str">
            <v>nd</v>
          </cell>
          <cell r="BT80">
            <v>11.600000000000001</v>
          </cell>
          <cell r="BU80">
            <v>74.5</v>
          </cell>
          <cell r="BV80">
            <v>12.2</v>
          </cell>
          <cell r="BW80">
            <v>0</v>
          </cell>
          <cell r="BX80">
            <v>0</v>
          </cell>
          <cell r="BY80">
            <v>0</v>
          </cell>
          <cell r="BZ80">
            <v>0</v>
          </cell>
          <cell r="CA80">
            <v>0</v>
          </cell>
          <cell r="CB80">
            <v>100</v>
          </cell>
          <cell r="CC80">
            <v>5.3</v>
          </cell>
          <cell r="CD80">
            <v>14.6</v>
          </cell>
          <cell r="CE80">
            <v>0</v>
          </cell>
          <cell r="CF80" t="str">
            <v>nd</v>
          </cell>
          <cell r="CG80">
            <v>0</v>
          </cell>
          <cell r="CH80">
            <v>12.4</v>
          </cell>
          <cell r="CI80">
            <v>13.600000000000001</v>
          </cell>
          <cell r="CJ80">
            <v>66.8</v>
          </cell>
          <cell r="CK80">
            <v>33.1</v>
          </cell>
          <cell r="CL80" t="str">
            <v>nd</v>
          </cell>
          <cell r="CM80" t="str">
            <v>nd</v>
          </cell>
          <cell r="CN80" t="str">
            <v>nd</v>
          </cell>
          <cell r="CO80">
            <v>67.400000000000006</v>
          </cell>
          <cell r="CP80">
            <v>38.9</v>
          </cell>
          <cell r="CQ80">
            <v>20.7</v>
          </cell>
          <cell r="CR80">
            <v>6.4</v>
          </cell>
          <cell r="CS80">
            <v>34</v>
          </cell>
          <cell r="CT80">
            <v>29.7</v>
          </cell>
          <cell r="CU80">
            <v>70.3</v>
          </cell>
          <cell r="CV80">
            <v>22</v>
          </cell>
          <cell r="CW80">
            <v>78</v>
          </cell>
          <cell r="CX80">
            <v>26.1</v>
          </cell>
          <cell r="CY80">
            <v>29.4</v>
          </cell>
          <cell r="CZ80">
            <v>44.6</v>
          </cell>
          <cell r="DA80" t="str">
            <v>nd</v>
          </cell>
          <cell r="DB80" t="str">
            <v>nd</v>
          </cell>
          <cell r="DC80">
            <v>0</v>
          </cell>
          <cell r="DD80" t="str">
            <v>nd</v>
          </cell>
          <cell r="DE80">
            <v>78.3</v>
          </cell>
          <cell r="DF80">
            <v>20.9</v>
          </cell>
          <cell r="DG80">
            <v>3.2</v>
          </cell>
          <cell r="DH80">
            <v>16</v>
          </cell>
          <cell r="DI80">
            <v>16.400000000000002</v>
          </cell>
          <cell r="DJ80">
            <v>20.200000000000003</v>
          </cell>
          <cell r="DK80">
            <v>23.3</v>
          </cell>
          <cell r="DL80">
            <v>14.899999999999999</v>
          </cell>
          <cell r="DM80">
            <v>53.900000000000006</v>
          </cell>
          <cell r="DN80">
            <v>4.8</v>
          </cell>
          <cell r="DO80">
            <v>17.299999999999997</v>
          </cell>
          <cell r="DP80">
            <v>11.799999999999999</v>
          </cell>
          <cell r="DQ80">
            <v>3.5000000000000004</v>
          </cell>
          <cell r="DR80" t="str">
            <v>nd</v>
          </cell>
          <cell r="DS80">
            <v>15.2</v>
          </cell>
          <cell r="DT80">
            <v>29.7</v>
          </cell>
          <cell r="DU80" t="str">
            <v>nd</v>
          </cell>
          <cell r="DV80">
            <v>0</v>
          </cell>
          <cell r="DW80">
            <v>0</v>
          </cell>
          <cell r="DX80">
            <v>0</v>
          </cell>
          <cell r="DY80">
            <v>0</v>
          </cell>
          <cell r="DZ80">
            <v>0</v>
          </cell>
          <cell r="EA80" t="str">
            <v>nd</v>
          </cell>
          <cell r="EB80">
            <v>0</v>
          </cell>
          <cell r="EC80" t="str">
            <v>nd</v>
          </cell>
          <cell r="ED80" t="str">
            <v>nd</v>
          </cell>
          <cell r="EE80">
            <v>2.0971000000000002</v>
          </cell>
          <cell r="EF80">
            <v>1.915</v>
          </cell>
          <cell r="EG80">
            <v>6.2603593999999996</v>
          </cell>
          <cell r="EH80">
            <v>4.7805200000000001</v>
          </cell>
          <cell r="EI80">
            <v>10.696000399999999</v>
          </cell>
          <cell r="EJ80">
            <v>18.1509678</v>
          </cell>
          <cell r="EK80">
            <v>4.2826399999999998</v>
          </cell>
          <cell r="EL80">
            <v>7.9959950000000006</v>
          </cell>
          <cell r="EM80">
            <v>5.1273200000000001</v>
          </cell>
          <cell r="EN80">
            <v>5.2565800000000005</v>
          </cell>
          <cell r="EO80">
            <v>10.0092955</v>
          </cell>
          <cell r="EP80">
            <v>11.3266068</v>
          </cell>
          <cell r="EQ80">
            <v>1.9972400000000001</v>
          </cell>
          <cell r="ER80">
            <v>2.58691</v>
          </cell>
          <cell r="ES80" t="str">
            <v>nd</v>
          </cell>
          <cell r="ET80" t="str">
            <v>nd</v>
          </cell>
          <cell r="EU80" t="str">
            <v>nd</v>
          </cell>
          <cell r="EV80" t="str">
            <v>nd</v>
          </cell>
          <cell r="EW80">
            <v>0</v>
          </cell>
          <cell r="EX80">
            <v>0</v>
          </cell>
          <cell r="EY80" t="str">
            <v>nd</v>
          </cell>
          <cell r="EZ80">
            <v>0</v>
          </cell>
          <cell r="FA80">
            <v>0</v>
          </cell>
          <cell r="FB80">
            <v>0</v>
          </cell>
          <cell r="FC80" t="str">
            <v>nd</v>
          </cell>
          <cell r="FD80">
            <v>2.68608</v>
          </cell>
          <cell r="FE80">
            <v>0</v>
          </cell>
          <cell r="FF80" t="str">
            <v>nd</v>
          </cell>
          <cell r="FG80">
            <v>0</v>
          </cell>
          <cell r="FH80" t="str">
            <v>nd</v>
          </cell>
          <cell r="FI80">
            <v>17.509744099999999</v>
          </cell>
          <cell r="FJ80">
            <v>17.144403499999999</v>
          </cell>
          <cell r="FK80">
            <v>2.97173</v>
          </cell>
          <cell r="FL80">
            <v>3.2335500000000001</v>
          </cell>
          <cell r="FM80" t="str">
            <v>nd</v>
          </cell>
          <cell r="FN80">
            <v>4.18011</v>
          </cell>
          <cell r="FO80">
            <v>16.1099003</v>
          </cell>
          <cell r="FP80">
            <v>13.2203202</v>
          </cell>
          <cell r="FQ80">
            <v>2.6779000000000002</v>
          </cell>
          <cell r="FR80">
            <v>3.9417899999999997</v>
          </cell>
          <cell r="FS80">
            <v>5.0103599999999995</v>
          </cell>
          <cell r="FT80" t="str">
            <v>nd</v>
          </cell>
          <cell r="FU80" t="str">
            <v>nd</v>
          </cell>
          <cell r="FV80">
            <v>0</v>
          </cell>
          <cell r="FW80" t="str">
            <v>nd</v>
          </cell>
          <cell r="FX80" t="str">
            <v>nd</v>
          </cell>
          <cell r="FY80">
            <v>2.6684800000000002</v>
          </cell>
          <cell r="FZ80">
            <v>0</v>
          </cell>
          <cell r="GA80">
            <v>0</v>
          </cell>
          <cell r="GB80">
            <v>0</v>
          </cell>
          <cell r="GC80">
            <v>0</v>
          </cell>
          <cell r="GD80">
            <v>0</v>
          </cell>
          <cell r="GE80" t="str">
            <v>nd</v>
          </cell>
          <cell r="GF80">
            <v>0</v>
          </cell>
          <cell r="GG80">
            <v>0</v>
          </cell>
          <cell r="GH80" t="str">
            <v>nd</v>
          </cell>
          <cell r="GI80">
            <v>1.74244</v>
          </cell>
          <cell r="GJ80" t="str">
            <v>nd</v>
          </cell>
          <cell r="GK80" t="str">
            <v>nd</v>
          </cell>
          <cell r="GL80">
            <v>0</v>
          </cell>
          <cell r="GM80">
            <v>0</v>
          </cell>
          <cell r="GN80" t="str">
            <v>nd</v>
          </cell>
          <cell r="GO80">
            <v>9.4081621999999996</v>
          </cell>
          <cell r="GP80">
            <v>16.3421254</v>
          </cell>
          <cell r="GQ80">
            <v>18.292970999999998</v>
          </cell>
          <cell r="GR80">
            <v>0</v>
          </cell>
          <cell r="GS80">
            <v>0</v>
          </cell>
          <cell r="GT80">
            <v>0</v>
          </cell>
          <cell r="GU80" t="str">
            <v>nd</v>
          </cell>
          <cell r="GV80">
            <v>9.6516350000000006</v>
          </cell>
          <cell r="GW80">
            <v>28.3133871</v>
          </cell>
          <cell r="GX80">
            <v>0</v>
          </cell>
          <cell r="GY80">
            <v>0</v>
          </cell>
          <cell r="GZ80">
            <v>0</v>
          </cell>
          <cell r="HA80">
            <v>0</v>
          </cell>
          <cell r="HB80">
            <v>1.3160399999999999</v>
          </cell>
          <cell r="HC80">
            <v>5.9306200000000002</v>
          </cell>
          <cell r="HD80">
            <v>0</v>
          </cell>
          <cell r="HE80">
            <v>0</v>
          </cell>
          <cell r="HF80">
            <v>0</v>
          </cell>
          <cell r="HG80">
            <v>0</v>
          </cell>
          <cell r="HH80" t="str">
            <v>nd</v>
          </cell>
          <cell r="HI80">
            <v>0</v>
          </cell>
          <cell r="HJ80">
            <v>0</v>
          </cell>
          <cell r="HK80">
            <v>0</v>
          </cell>
          <cell r="HL80">
            <v>0</v>
          </cell>
          <cell r="HM80">
            <v>4.6116200000000003</v>
          </cell>
          <cell r="HN80">
            <v>2.2041499999999998</v>
          </cell>
          <cell r="HO80">
            <v>0</v>
          </cell>
          <cell r="HP80">
            <v>0</v>
          </cell>
          <cell r="HQ80">
            <v>0</v>
          </cell>
          <cell r="HR80">
            <v>0</v>
          </cell>
          <cell r="HS80">
            <v>20.0385858</v>
          </cell>
          <cell r="HT80">
            <v>25.560597099999999</v>
          </cell>
          <cell r="HU80">
            <v>0</v>
          </cell>
          <cell r="HV80">
            <v>0</v>
          </cell>
          <cell r="HW80">
            <v>0</v>
          </cell>
          <cell r="HX80">
            <v>0</v>
          </cell>
          <cell r="HY80">
            <v>23.849730399999999</v>
          </cell>
          <cell r="HZ80">
            <v>17.275418900000002</v>
          </cell>
          <cell r="IA80">
            <v>0</v>
          </cell>
          <cell r="IB80">
            <v>0</v>
          </cell>
          <cell r="IC80">
            <v>0</v>
          </cell>
          <cell r="ID80">
            <v>0</v>
          </cell>
          <cell r="IE80">
            <v>3.6510500000000001</v>
          </cell>
          <cell r="IF80">
            <v>2.1993900000000002</v>
          </cell>
          <cell r="IG80">
            <v>0</v>
          </cell>
          <cell r="IH80">
            <v>0</v>
          </cell>
          <cell r="II80">
            <v>0</v>
          </cell>
          <cell r="IJ80">
            <v>0</v>
          </cell>
          <cell r="IK80" t="str">
            <v>nd</v>
          </cell>
          <cell r="IL80">
            <v>0</v>
          </cell>
          <cell r="IM80">
            <v>0</v>
          </cell>
          <cell r="IN80">
            <v>0</v>
          </cell>
          <cell r="IO80" t="str">
            <v>nd</v>
          </cell>
          <cell r="IP80">
            <v>4.2282700000000002</v>
          </cell>
          <cell r="IQ80" t="str">
            <v>nd</v>
          </cell>
          <cell r="IR80">
            <v>0</v>
          </cell>
          <cell r="IS80">
            <v>0</v>
          </cell>
          <cell r="IT80">
            <v>0</v>
          </cell>
          <cell r="IU80">
            <v>4.7932600000000001</v>
          </cell>
          <cell r="IV80">
            <v>37.680666800000004</v>
          </cell>
          <cell r="IW80">
            <v>4.3485000000000005</v>
          </cell>
          <cell r="IX80">
            <v>0</v>
          </cell>
          <cell r="IY80" t="str">
            <v>nd</v>
          </cell>
          <cell r="IZ80" t="str">
            <v>nd</v>
          </cell>
          <cell r="JA80">
            <v>4.8844599999999998</v>
          </cell>
          <cell r="JB80">
            <v>30.282277099999998</v>
          </cell>
          <cell r="JC80">
            <v>3.9531100000000001</v>
          </cell>
          <cell r="JD80">
            <v>0</v>
          </cell>
          <cell r="JE80">
            <v>0</v>
          </cell>
          <cell r="JF80">
            <v>0</v>
          </cell>
          <cell r="JG80">
            <v>0</v>
          </cell>
          <cell r="JH80">
            <v>2.35188</v>
          </cell>
          <cell r="JI80">
            <v>2.9795499999999997</v>
          </cell>
          <cell r="JJ80">
            <v>0</v>
          </cell>
          <cell r="JK80">
            <v>0</v>
          </cell>
          <cell r="JL80">
            <v>0</v>
          </cell>
          <cell r="JM80">
            <v>0</v>
          </cell>
          <cell r="JN80" t="str">
            <v>nd</v>
          </cell>
          <cell r="JO80">
            <v>0</v>
          </cell>
          <cell r="JP80">
            <v>0</v>
          </cell>
          <cell r="JQ80">
            <v>0</v>
          </cell>
          <cell r="JR80">
            <v>0</v>
          </cell>
          <cell r="JS80">
            <v>0</v>
          </cell>
          <cell r="JT80">
            <v>6.9553710000000004</v>
          </cell>
          <cell r="JU80">
            <v>0</v>
          </cell>
          <cell r="JV80">
            <v>0</v>
          </cell>
          <cell r="JW80">
            <v>0</v>
          </cell>
          <cell r="JX80">
            <v>0</v>
          </cell>
          <cell r="JY80">
            <v>0</v>
          </cell>
          <cell r="JZ80">
            <v>45.437051099999998</v>
          </cell>
          <cell r="KA80">
            <v>0</v>
          </cell>
          <cell r="KB80">
            <v>0</v>
          </cell>
          <cell r="KC80">
            <v>0</v>
          </cell>
          <cell r="KD80">
            <v>0</v>
          </cell>
          <cell r="KE80">
            <v>0</v>
          </cell>
          <cell r="KF80">
            <v>41.170500099999998</v>
          </cell>
          <cell r="KG80">
            <v>0</v>
          </cell>
          <cell r="KH80">
            <v>0</v>
          </cell>
          <cell r="KI80">
            <v>0</v>
          </cell>
          <cell r="KJ80">
            <v>0</v>
          </cell>
          <cell r="KK80">
            <v>0</v>
          </cell>
          <cell r="KL80">
            <v>5.8276199999999996</v>
          </cell>
          <cell r="KM80">
            <v>30.5</v>
          </cell>
          <cell r="KN80">
            <v>54.7</v>
          </cell>
          <cell r="KO80">
            <v>5.5</v>
          </cell>
          <cell r="KP80">
            <v>2.4</v>
          </cell>
          <cell r="KQ80">
            <v>6.9</v>
          </cell>
          <cell r="KR80">
            <v>0</v>
          </cell>
          <cell r="KS80">
            <v>30.8</v>
          </cell>
          <cell r="KT80">
            <v>53.5</v>
          </cell>
          <cell r="KU80">
            <v>5.8999999999999995</v>
          </cell>
          <cell r="KV80">
            <v>2.2999999999999998</v>
          </cell>
          <cell r="KW80">
            <v>7.5</v>
          </cell>
          <cell r="KX80">
            <v>0</v>
          </cell>
          <cell r="KY80"/>
          <cell r="KZ80"/>
          <cell r="LA80"/>
          <cell r="LB80"/>
          <cell r="LC80"/>
          <cell r="LD80"/>
          <cell r="LE80"/>
          <cell r="LF80"/>
          <cell r="LG80"/>
          <cell r="LH80"/>
          <cell r="LI80"/>
          <cell r="LJ80"/>
          <cell r="LK80"/>
          <cell r="LL80"/>
          <cell r="LM80"/>
          <cell r="LN80"/>
          <cell r="LO80"/>
        </row>
        <row r="81">
          <cell r="A81" t="str">
            <v>4JZ</v>
          </cell>
          <cell r="B81" t="str">
            <v>81</v>
          </cell>
          <cell r="C81" t="str">
            <v>NAF 17</v>
          </cell>
          <cell r="D81" t="str">
            <v>JZ</v>
          </cell>
          <cell r="E81" t="str">
            <v>4</v>
          </cell>
          <cell r="F81">
            <v>0</v>
          </cell>
          <cell r="G81">
            <v>7.9</v>
          </cell>
          <cell r="H81">
            <v>52.900000000000006</v>
          </cell>
          <cell r="I81">
            <v>33.1</v>
          </cell>
          <cell r="J81">
            <v>6.1</v>
          </cell>
          <cell r="K81">
            <v>79.800000000000011</v>
          </cell>
          <cell r="L81">
            <v>9.7000000000000011</v>
          </cell>
          <cell r="M81">
            <v>7.3</v>
          </cell>
          <cell r="N81">
            <v>3.2</v>
          </cell>
          <cell r="O81">
            <v>41.199999999999996</v>
          </cell>
          <cell r="P81">
            <v>26.200000000000003</v>
          </cell>
          <cell r="Q81">
            <v>8.5</v>
          </cell>
          <cell r="R81">
            <v>5.8999999999999995</v>
          </cell>
          <cell r="S81">
            <v>4.1000000000000005</v>
          </cell>
          <cell r="T81">
            <v>47.8</v>
          </cell>
          <cell r="U81">
            <v>4.5999999999999996</v>
          </cell>
          <cell r="V81">
            <v>22.7</v>
          </cell>
          <cell r="W81">
            <v>12.4</v>
          </cell>
          <cell r="X81">
            <v>76.599999999999994</v>
          </cell>
          <cell r="Y81">
            <v>11</v>
          </cell>
          <cell r="Z81">
            <v>0</v>
          </cell>
          <cell r="AA81" t="str">
            <v>nd</v>
          </cell>
          <cell r="AB81">
            <v>26.6</v>
          </cell>
          <cell r="AC81">
            <v>78.2</v>
          </cell>
          <cell r="AD81">
            <v>30.599999999999998</v>
          </cell>
          <cell r="AE81">
            <v>65.8</v>
          </cell>
          <cell r="AF81">
            <v>34.200000000000003</v>
          </cell>
          <cell r="AG81">
            <v>57.4</v>
          </cell>
          <cell r="AH81">
            <v>42.6</v>
          </cell>
          <cell r="AI81">
            <v>56.8</v>
          </cell>
          <cell r="AJ81">
            <v>5.8000000000000007</v>
          </cell>
          <cell r="AK81" t="str">
            <v>nd</v>
          </cell>
          <cell r="AL81">
            <v>28.299999999999997</v>
          </cell>
          <cell r="AM81">
            <v>8.3000000000000007</v>
          </cell>
          <cell r="AN81">
            <v>27.1</v>
          </cell>
          <cell r="AO81">
            <v>7.1999999999999993</v>
          </cell>
          <cell r="AP81">
            <v>4.3</v>
          </cell>
          <cell r="AQ81">
            <v>50.3</v>
          </cell>
          <cell r="AR81">
            <v>11</v>
          </cell>
          <cell r="AS81">
            <v>14.7</v>
          </cell>
          <cell r="AT81">
            <v>11.1</v>
          </cell>
          <cell r="AU81">
            <v>19.5</v>
          </cell>
          <cell r="AV81">
            <v>26.400000000000002</v>
          </cell>
          <cell r="AW81">
            <v>11.3</v>
          </cell>
          <cell r="AX81">
            <v>16.900000000000002</v>
          </cell>
          <cell r="AY81">
            <v>26.8</v>
          </cell>
          <cell r="AZ81">
            <v>28.9</v>
          </cell>
          <cell r="BA81">
            <v>23.1</v>
          </cell>
          <cell r="BB81">
            <v>12.4</v>
          </cell>
          <cell r="BC81">
            <v>7.3999999999999995</v>
          </cell>
          <cell r="BD81" t="str">
            <v>nd</v>
          </cell>
          <cell r="BE81" t="str">
            <v>nd</v>
          </cell>
          <cell r="BF81" t="str">
            <v>nd</v>
          </cell>
          <cell r="BG81">
            <v>5.2</v>
          </cell>
          <cell r="BH81">
            <v>14.7</v>
          </cell>
          <cell r="BI81">
            <v>33.5</v>
          </cell>
          <cell r="BJ81">
            <v>44.800000000000004</v>
          </cell>
          <cell r="BK81">
            <v>0</v>
          </cell>
          <cell r="BL81">
            <v>0</v>
          </cell>
          <cell r="BM81">
            <v>0</v>
          </cell>
          <cell r="BN81" t="str">
            <v>nd</v>
          </cell>
          <cell r="BO81">
            <v>79</v>
          </cell>
          <cell r="BP81">
            <v>19.400000000000002</v>
          </cell>
          <cell r="BQ81">
            <v>0</v>
          </cell>
          <cell r="BR81">
            <v>0</v>
          </cell>
          <cell r="BS81">
            <v>4.8</v>
          </cell>
          <cell r="BT81">
            <v>21.8</v>
          </cell>
          <cell r="BU81">
            <v>64.2</v>
          </cell>
          <cell r="BV81">
            <v>9.1999999999999993</v>
          </cell>
          <cell r="BW81">
            <v>0</v>
          </cell>
          <cell r="BX81">
            <v>0</v>
          </cell>
          <cell r="BY81">
            <v>0</v>
          </cell>
          <cell r="BZ81">
            <v>0</v>
          </cell>
          <cell r="CA81">
            <v>0</v>
          </cell>
          <cell r="CB81">
            <v>100</v>
          </cell>
          <cell r="CC81">
            <v>6.4</v>
          </cell>
          <cell r="CD81">
            <v>12.5</v>
          </cell>
          <cell r="CE81" t="str">
            <v>nd</v>
          </cell>
          <cell r="CF81" t="str">
            <v>nd</v>
          </cell>
          <cell r="CG81">
            <v>0</v>
          </cell>
          <cell r="CH81">
            <v>9.7000000000000011</v>
          </cell>
          <cell r="CI81">
            <v>6.4</v>
          </cell>
          <cell r="CJ81">
            <v>71</v>
          </cell>
          <cell r="CK81">
            <v>29.7</v>
          </cell>
          <cell r="CL81">
            <v>7.7</v>
          </cell>
          <cell r="CM81">
            <v>2.7</v>
          </cell>
          <cell r="CN81" t="str">
            <v>nd</v>
          </cell>
          <cell r="CO81">
            <v>67.600000000000009</v>
          </cell>
          <cell r="CP81">
            <v>31.7</v>
          </cell>
          <cell r="CQ81">
            <v>16.900000000000002</v>
          </cell>
          <cell r="CR81">
            <v>5.2</v>
          </cell>
          <cell r="CS81">
            <v>46.1</v>
          </cell>
          <cell r="CT81">
            <v>24.4</v>
          </cell>
          <cell r="CU81">
            <v>75.599999999999994</v>
          </cell>
          <cell r="CV81">
            <v>30.9</v>
          </cell>
          <cell r="CW81">
            <v>69.099999999999994</v>
          </cell>
          <cell r="CX81">
            <v>23.1</v>
          </cell>
          <cell r="CY81">
            <v>19.8</v>
          </cell>
          <cell r="CZ81">
            <v>57.099999999999994</v>
          </cell>
          <cell r="DA81">
            <v>23.1</v>
          </cell>
          <cell r="DB81">
            <v>0</v>
          </cell>
          <cell r="DC81">
            <v>0</v>
          </cell>
          <cell r="DD81">
            <v>0</v>
          </cell>
          <cell r="DE81">
            <v>80.900000000000006</v>
          </cell>
          <cell r="DF81">
            <v>15</v>
          </cell>
          <cell r="DG81">
            <v>10.6</v>
          </cell>
          <cell r="DH81">
            <v>19</v>
          </cell>
          <cell r="DI81">
            <v>10.9</v>
          </cell>
          <cell r="DJ81">
            <v>23.799999999999997</v>
          </cell>
          <cell r="DK81">
            <v>20.7</v>
          </cell>
          <cell r="DL81">
            <v>8</v>
          </cell>
          <cell r="DM81">
            <v>47.599999999999994</v>
          </cell>
          <cell r="DN81">
            <v>3.5000000000000004</v>
          </cell>
          <cell r="DO81">
            <v>35.099999999999994</v>
          </cell>
          <cell r="DP81">
            <v>22.7</v>
          </cell>
          <cell r="DQ81">
            <v>8.1</v>
          </cell>
          <cell r="DR81" t="str">
            <v>nd</v>
          </cell>
          <cell r="DS81">
            <v>28.1</v>
          </cell>
          <cell r="DT81">
            <v>20.7</v>
          </cell>
          <cell r="DU81">
            <v>0</v>
          </cell>
          <cell r="DV81">
            <v>0</v>
          </cell>
          <cell r="DW81">
            <v>0</v>
          </cell>
          <cell r="DX81">
            <v>0</v>
          </cell>
          <cell r="DY81">
            <v>0</v>
          </cell>
          <cell r="DZ81" t="str">
            <v>nd</v>
          </cell>
          <cell r="EA81">
            <v>0</v>
          </cell>
          <cell r="EB81">
            <v>2.03044</v>
          </cell>
          <cell r="EC81">
            <v>2.96427</v>
          </cell>
          <cell r="ED81" t="str">
            <v>nd</v>
          </cell>
          <cell r="EE81">
            <v>0</v>
          </cell>
          <cell r="EF81">
            <v>5.2347299999999999</v>
          </cell>
          <cell r="EG81">
            <v>6.1444999999999999</v>
          </cell>
          <cell r="EH81">
            <v>10.190078900000001</v>
          </cell>
          <cell r="EI81">
            <v>18.491503999999999</v>
          </cell>
          <cell r="EJ81">
            <v>3.7341199999999999</v>
          </cell>
          <cell r="EK81">
            <v>9.0363489000000001</v>
          </cell>
          <cell r="EL81">
            <v>7.0613854000000007</v>
          </cell>
          <cell r="EM81">
            <v>4.9543999999999997</v>
          </cell>
          <cell r="EN81">
            <v>4.6795299999999997</v>
          </cell>
          <cell r="EO81">
            <v>4.3593299999999999</v>
          </cell>
          <cell r="EP81">
            <v>5.32247</v>
          </cell>
          <cell r="EQ81">
            <v>7.9020985000000001</v>
          </cell>
          <cell r="ER81" t="str">
            <v>nd</v>
          </cell>
          <cell r="ES81">
            <v>0</v>
          </cell>
          <cell r="ET81" t="str">
            <v>nd</v>
          </cell>
          <cell r="EU81" t="str">
            <v>nd</v>
          </cell>
          <cell r="EV81" t="str">
            <v>nd</v>
          </cell>
          <cell r="EW81">
            <v>0</v>
          </cell>
          <cell r="EX81">
            <v>0</v>
          </cell>
          <cell r="EY81">
            <v>0</v>
          </cell>
          <cell r="EZ81">
            <v>0</v>
          </cell>
          <cell r="FA81">
            <v>0</v>
          </cell>
          <cell r="FB81">
            <v>0</v>
          </cell>
          <cell r="FC81">
            <v>2.63</v>
          </cell>
          <cell r="FD81" t="str">
            <v>nd</v>
          </cell>
          <cell r="FE81">
            <v>1.9638599999999999</v>
          </cell>
          <cell r="FF81" t="str">
            <v>nd</v>
          </cell>
          <cell r="FG81" t="str">
            <v>nd</v>
          </cell>
          <cell r="FH81">
            <v>0</v>
          </cell>
          <cell r="FI81">
            <v>9.2701533000000005</v>
          </cell>
          <cell r="FJ81">
            <v>17.888598999999999</v>
          </cell>
          <cell r="FK81">
            <v>15.871729500000001</v>
          </cell>
          <cell r="FL81">
            <v>6.0255000000000001</v>
          </cell>
          <cell r="FM81">
            <v>3.35521</v>
          </cell>
          <cell r="FN81" t="str">
            <v>nd</v>
          </cell>
          <cell r="FO81">
            <v>12.5545294</v>
          </cell>
          <cell r="FP81">
            <v>9.2333075999999998</v>
          </cell>
          <cell r="FQ81">
            <v>2.7652000000000001</v>
          </cell>
          <cell r="FR81">
            <v>5.3799700000000001</v>
          </cell>
          <cell r="FS81">
            <v>2.3621300000000001</v>
          </cell>
          <cell r="FT81" t="str">
            <v>nd</v>
          </cell>
          <cell r="FU81">
            <v>2.3858600000000001</v>
          </cell>
          <cell r="FV81" t="str">
            <v>nd</v>
          </cell>
          <cell r="FW81" t="str">
            <v>nd</v>
          </cell>
          <cell r="FX81">
            <v>0</v>
          </cell>
          <cell r="FY81" t="str">
            <v>nd</v>
          </cell>
          <cell r="FZ81">
            <v>0</v>
          </cell>
          <cell r="GA81">
            <v>0</v>
          </cell>
          <cell r="GB81">
            <v>0</v>
          </cell>
          <cell r="GC81">
            <v>0</v>
          </cell>
          <cell r="GD81">
            <v>0</v>
          </cell>
          <cell r="GE81">
            <v>0</v>
          </cell>
          <cell r="GF81" t="str">
            <v>nd</v>
          </cell>
          <cell r="GG81" t="str">
            <v>nd</v>
          </cell>
          <cell r="GH81" t="str">
            <v>nd</v>
          </cell>
          <cell r="GI81">
            <v>2.4858000000000002</v>
          </cell>
          <cell r="GJ81" t="str">
            <v>nd</v>
          </cell>
          <cell r="GK81" t="str">
            <v>nd</v>
          </cell>
          <cell r="GL81">
            <v>0</v>
          </cell>
          <cell r="GM81" t="str">
            <v>nd</v>
          </cell>
          <cell r="GN81">
            <v>3.72763</v>
          </cell>
          <cell r="GO81">
            <v>9.4604263999999993</v>
          </cell>
          <cell r="GP81">
            <v>19.647103699999999</v>
          </cell>
          <cell r="GQ81">
            <v>19.738912899999999</v>
          </cell>
          <cell r="GR81">
            <v>0</v>
          </cell>
          <cell r="GS81">
            <v>0</v>
          </cell>
          <cell r="GT81">
            <v>0</v>
          </cell>
          <cell r="GU81" t="str">
            <v>nd</v>
          </cell>
          <cell r="GV81">
            <v>9.4001684999999995</v>
          </cell>
          <cell r="GW81">
            <v>21.711151000000001</v>
          </cell>
          <cell r="GX81">
            <v>0</v>
          </cell>
          <cell r="GY81">
            <v>0</v>
          </cell>
          <cell r="GZ81">
            <v>0</v>
          </cell>
          <cell r="HA81" t="str">
            <v>nd</v>
          </cell>
          <cell r="HB81">
            <v>2.79705</v>
          </cell>
          <cell r="HC81">
            <v>2.7282299999999999</v>
          </cell>
          <cell r="HD81">
            <v>0</v>
          </cell>
          <cell r="HE81">
            <v>0</v>
          </cell>
          <cell r="HF81">
            <v>0</v>
          </cell>
          <cell r="HG81">
            <v>0</v>
          </cell>
          <cell r="HH81">
            <v>0</v>
          </cell>
          <cell r="HI81">
            <v>0</v>
          </cell>
          <cell r="HJ81">
            <v>0</v>
          </cell>
          <cell r="HK81">
            <v>0</v>
          </cell>
          <cell r="HL81">
            <v>0</v>
          </cell>
          <cell r="HM81">
            <v>5.8258400000000004</v>
          </cell>
          <cell r="HN81" t="str">
            <v>nd</v>
          </cell>
          <cell r="HO81">
            <v>0</v>
          </cell>
          <cell r="HP81">
            <v>0</v>
          </cell>
          <cell r="HQ81">
            <v>0</v>
          </cell>
          <cell r="HR81" t="str">
            <v>nd</v>
          </cell>
          <cell r="HS81">
            <v>40.022181699999997</v>
          </cell>
          <cell r="HT81">
            <v>12.1008189</v>
          </cell>
          <cell r="HU81">
            <v>0</v>
          </cell>
          <cell r="HV81">
            <v>0</v>
          </cell>
          <cell r="HW81">
            <v>0</v>
          </cell>
          <cell r="HX81" t="str">
            <v>nd</v>
          </cell>
          <cell r="HY81">
            <v>28.3810401</v>
          </cell>
          <cell r="HZ81">
            <v>4.9831000000000003</v>
          </cell>
          <cell r="IA81">
            <v>0</v>
          </cell>
          <cell r="IB81">
            <v>0</v>
          </cell>
          <cell r="IC81">
            <v>0</v>
          </cell>
          <cell r="ID81">
            <v>0</v>
          </cell>
          <cell r="IE81">
            <v>4.7520199999999999</v>
          </cell>
          <cell r="IF81" t="str">
            <v>nd</v>
          </cell>
          <cell r="IG81">
            <v>0</v>
          </cell>
          <cell r="IH81">
            <v>0</v>
          </cell>
          <cell r="II81">
            <v>0</v>
          </cell>
          <cell r="IJ81">
            <v>0</v>
          </cell>
          <cell r="IK81">
            <v>0</v>
          </cell>
          <cell r="IL81">
            <v>0</v>
          </cell>
          <cell r="IM81">
            <v>0</v>
          </cell>
          <cell r="IN81" t="str">
            <v>nd</v>
          </cell>
          <cell r="IO81" t="str">
            <v>nd</v>
          </cell>
          <cell r="IP81">
            <v>4.5253500000000004</v>
          </cell>
          <cell r="IQ81">
            <v>0</v>
          </cell>
          <cell r="IR81">
            <v>0</v>
          </cell>
          <cell r="IS81">
            <v>0</v>
          </cell>
          <cell r="IT81" t="str">
            <v>nd</v>
          </cell>
          <cell r="IU81">
            <v>12.084254099999999</v>
          </cell>
          <cell r="IV81">
            <v>32.575775999999998</v>
          </cell>
          <cell r="IW81">
            <v>6.8367042000000007</v>
          </cell>
          <cell r="IX81">
            <v>0</v>
          </cell>
          <cell r="IY81">
            <v>0</v>
          </cell>
          <cell r="IZ81">
            <v>2.3702199999999998</v>
          </cell>
          <cell r="JA81">
            <v>6.3169601000000002</v>
          </cell>
          <cell r="JB81">
            <v>23.1094753</v>
          </cell>
          <cell r="JC81">
            <v>2.3869700000000003</v>
          </cell>
          <cell r="JD81">
            <v>0</v>
          </cell>
          <cell r="JE81">
            <v>0</v>
          </cell>
          <cell r="JF81">
            <v>0</v>
          </cell>
          <cell r="JG81">
            <v>2.3690099999999998</v>
          </cell>
          <cell r="JH81">
            <v>3.95417</v>
          </cell>
          <cell r="JI81">
            <v>0</v>
          </cell>
          <cell r="JJ81">
            <v>0</v>
          </cell>
          <cell r="JK81">
            <v>0</v>
          </cell>
          <cell r="JL81">
            <v>0</v>
          </cell>
          <cell r="JM81">
            <v>0</v>
          </cell>
          <cell r="JN81">
            <v>0</v>
          </cell>
          <cell r="JO81">
            <v>0</v>
          </cell>
          <cell r="JP81">
            <v>0</v>
          </cell>
          <cell r="JQ81">
            <v>0</v>
          </cell>
          <cell r="JR81">
            <v>0</v>
          </cell>
          <cell r="JS81">
            <v>0</v>
          </cell>
          <cell r="JT81">
            <v>6.1263399999999999</v>
          </cell>
          <cell r="JU81">
            <v>0</v>
          </cell>
          <cell r="JV81">
            <v>0</v>
          </cell>
          <cell r="JW81">
            <v>0</v>
          </cell>
          <cell r="JX81">
            <v>0</v>
          </cell>
          <cell r="JY81">
            <v>0</v>
          </cell>
          <cell r="JZ81">
            <v>52.609560000000002</v>
          </cell>
          <cell r="KA81">
            <v>0</v>
          </cell>
          <cell r="KB81">
            <v>0</v>
          </cell>
          <cell r="KC81">
            <v>0</v>
          </cell>
          <cell r="KD81">
            <v>0</v>
          </cell>
          <cell r="KE81">
            <v>0</v>
          </cell>
          <cell r="KF81">
            <v>35.307603</v>
          </cell>
          <cell r="KG81">
            <v>0</v>
          </cell>
          <cell r="KH81">
            <v>0</v>
          </cell>
          <cell r="KI81">
            <v>0</v>
          </cell>
          <cell r="KJ81">
            <v>0</v>
          </cell>
          <cell r="KK81">
            <v>0</v>
          </cell>
          <cell r="KL81">
            <v>5.9564899999999996</v>
          </cell>
          <cell r="KM81">
            <v>28.9</v>
          </cell>
          <cell r="KN81">
            <v>51.7</v>
          </cell>
          <cell r="KO81">
            <v>7.1</v>
          </cell>
          <cell r="KP81">
            <v>4.1000000000000005</v>
          </cell>
          <cell r="KQ81">
            <v>8.2000000000000011</v>
          </cell>
          <cell r="KR81">
            <v>0</v>
          </cell>
          <cell r="KS81">
            <v>29.4</v>
          </cell>
          <cell r="KT81">
            <v>49.3</v>
          </cell>
          <cell r="KU81">
            <v>7.6</v>
          </cell>
          <cell r="KV81">
            <v>4.1000000000000005</v>
          </cell>
          <cell r="KW81">
            <v>9.6</v>
          </cell>
          <cell r="KX81">
            <v>0</v>
          </cell>
          <cell r="KY81"/>
          <cell r="KZ81"/>
          <cell r="LA81"/>
          <cell r="LB81"/>
          <cell r="LC81"/>
          <cell r="LD81"/>
          <cell r="LE81"/>
          <cell r="LF81"/>
          <cell r="LG81"/>
          <cell r="LH81"/>
          <cell r="LI81"/>
          <cell r="LJ81"/>
          <cell r="LK81"/>
          <cell r="LL81"/>
          <cell r="LM81"/>
          <cell r="LN81"/>
          <cell r="LO81"/>
        </row>
        <row r="82">
          <cell r="A82" t="str">
            <v>5JZ</v>
          </cell>
          <cell r="B82" t="str">
            <v>82</v>
          </cell>
          <cell r="C82" t="str">
            <v>NAF 17</v>
          </cell>
          <cell r="D82" t="str">
            <v>JZ</v>
          </cell>
          <cell r="E82" t="str">
            <v>5</v>
          </cell>
          <cell r="F82">
            <v>0</v>
          </cell>
          <cell r="G82">
            <v>9.6</v>
          </cell>
          <cell r="H82">
            <v>54.300000000000004</v>
          </cell>
          <cell r="I82">
            <v>32.9</v>
          </cell>
          <cell r="J82" t="str">
            <v>nd</v>
          </cell>
          <cell r="K82">
            <v>72.599999999999994</v>
          </cell>
          <cell r="L82">
            <v>12.8</v>
          </cell>
          <cell r="M82">
            <v>5.7</v>
          </cell>
          <cell r="N82">
            <v>9</v>
          </cell>
          <cell r="O82">
            <v>37.5</v>
          </cell>
          <cell r="P82">
            <v>32.300000000000004</v>
          </cell>
          <cell r="Q82">
            <v>3.5999999999999996</v>
          </cell>
          <cell r="R82">
            <v>12.7</v>
          </cell>
          <cell r="S82">
            <v>6.4</v>
          </cell>
          <cell r="T82">
            <v>48.3</v>
          </cell>
          <cell r="U82" t="str">
            <v>nd</v>
          </cell>
          <cell r="V82">
            <v>27.1</v>
          </cell>
          <cell r="W82">
            <v>21.7</v>
          </cell>
          <cell r="X82">
            <v>70.5</v>
          </cell>
          <cell r="Y82">
            <v>7.8</v>
          </cell>
          <cell r="Z82" t="str">
            <v>nd</v>
          </cell>
          <cell r="AA82">
            <v>72.3</v>
          </cell>
          <cell r="AB82" t="str">
            <v>nd</v>
          </cell>
          <cell r="AC82">
            <v>95.8</v>
          </cell>
          <cell r="AD82" t="str">
            <v>nd</v>
          </cell>
          <cell r="AE82">
            <v>64.2</v>
          </cell>
          <cell r="AF82">
            <v>35.799999999999997</v>
          </cell>
          <cell r="AG82">
            <v>58.4</v>
          </cell>
          <cell r="AH82">
            <v>41.6</v>
          </cell>
          <cell r="AI82">
            <v>68.600000000000009</v>
          </cell>
          <cell r="AJ82">
            <v>10.6</v>
          </cell>
          <cell r="AK82" t="str">
            <v>nd</v>
          </cell>
          <cell r="AL82">
            <v>14.499999999999998</v>
          </cell>
          <cell r="AM82">
            <v>4.2</v>
          </cell>
          <cell r="AN82">
            <v>21.4</v>
          </cell>
          <cell r="AO82" t="str">
            <v>nd</v>
          </cell>
          <cell r="AP82">
            <v>10</v>
          </cell>
          <cell r="AQ82">
            <v>42.1</v>
          </cell>
          <cell r="AR82">
            <v>21.7</v>
          </cell>
          <cell r="AS82">
            <v>2.2999999999999998</v>
          </cell>
          <cell r="AT82">
            <v>6.6000000000000005</v>
          </cell>
          <cell r="AU82">
            <v>27.800000000000004</v>
          </cell>
          <cell r="AV82">
            <v>27.6</v>
          </cell>
          <cell r="AW82">
            <v>27.1</v>
          </cell>
          <cell r="AX82">
            <v>8.6</v>
          </cell>
          <cell r="AY82">
            <v>35</v>
          </cell>
          <cell r="AZ82">
            <v>35.9</v>
          </cell>
          <cell r="BA82">
            <v>20.5</v>
          </cell>
          <cell r="BB82">
            <v>4.9000000000000004</v>
          </cell>
          <cell r="BC82" t="str">
            <v>nd</v>
          </cell>
          <cell r="BD82" t="str">
            <v>nd</v>
          </cell>
          <cell r="BE82">
            <v>0</v>
          </cell>
          <cell r="BF82">
            <v>0</v>
          </cell>
          <cell r="BG82">
            <v>5.2</v>
          </cell>
          <cell r="BH82">
            <v>26.5</v>
          </cell>
          <cell r="BI82">
            <v>28.000000000000004</v>
          </cell>
          <cell r="BJ82">
            <v>40.300000000000004</v>
          </cell>
          <cell r="BK82">
            <v>0</v>
          </cell>
          <cell r="BL82">
            <v>0</v>
          </cell>
          <cell r="BM82">
            <v>0</v>
          </cell>
          <cell r="BN82">
            <v>9.4</v>
          </cell>
          <cell r="BO82">
            <v>85.1</v>
          </cell>
          <cell r="BP82">
            <v>5.5</v>
          </cell>
          <cell r="BQ82">
            <v>0</v>
          </cell>
          <cell r="BR82">
            <v>0</v>
          </cell>
          <cell r="BS82">
            <v>0</v>
          </cell>
          <cell r="BT82">
            <v>13.700000000000001</v>
          </cell>
          <cell r="BU82">
            <v>79.5</v>
          </cell>
          <cell r="BV82">
            <v>6.8000000000000007</v>
          </cell>
          <cell r="BW82">
            <v>0</v>
          </cell>
          <cell r="BX82">
            <v>0</v>
          </cell>
          <cell r="BY82">
            <v>0</v>
          </cell>
          <cell r="BZ82">
            <v>0</v>
          </cell>
          <cell r="CA82" t="str">
            <v>nd</v>
          </cell>
          <cell r="CB82">
            <v>98.8</v>
          </cell>
          <cell r="CC82">
            <v>6.7</v>
          </cell>
          <cell r="CD82">
            <v>14.799999999999999</v>
          </cell>
          <cell r="CE82">
            <v>0</v>
          </cell>
          <cell r="CF82" t="str">
            <v>nd</v>
          </cell>
          <cell r="CG82" t="str">
            <v>nd</v>
          </cell>
          <cell r="CH82">
            <v>15.299999999999999</v>
          </cell>
          <cell r="CI82">
            <v>4.2</v>
          </cell>
          <cell r="CJ82">
            <v>75.400000000000006</v>
          </cell>
          <cell r="CK82">
            <v>40.5</v>
          </cell>
          <cell r="CL82">
            <v>12.1</v>
          </cell>
          <cell r="CM82" t="str">
            <v>nd</v>
          </cell>
          <cell r="CN82" t="str">
            <v>nd</v>
          </cell>
          <cell r="CO82">
            <v>51.800000000000004</v>
          </cell>
          <cell r="CP82">
            <v>36.4</v>
          </cell>
          <cell r="CQ82">
            <v>16.400000000000002</v>
          </cell>
          <cell r="CR82" t="str">
            <v>nd</v>
          </cell>
          <cell r="CS82">
            <v>44.800000000000004</v>
          </cell>
          <cell r="CT82">
            <v>16.400000000000002</v>
          </cell>
          <cell r="CU82">
            <v>83.6</v>
          </cell>
          <cell r="CV82">
            <v>21.3</v>
          </cell>
          <cell r="CW82">
            <v>78.7</v>
          </cell>
          <cell r="CX82">
            <v>20</v>
          </cell>
          <cell r="CY82">
            <v>27.700000000000003</v>
          </cell>
          <cell r="CZ82">
            <v>52.300000000000004</v>
          </cell>
          <cell r="DA82">
            <v>67.5</v>
          </cell>
          <cell r="DB82">
            <v>0</v>
          </cell>
          <cell r="DC82" t="str">
            <v>nd</v>
          </cell>
          <cell r="DD82">
            <v>0</v>
          </cell>
          <cell r="DE82">
            <v>48.3</v>
          </cell>
          <cell r="DF82">
            <v>7.8</v>
          </cell>
          <cell r="DG82" t="str">
            <v>nd</v>
          </cell>
          <cell r="DH82">
            <v>24.2</v>
          </cell>
          <cell r="DI82">
            <v>21.8</v>
          </cell>
          <cell r="DJ82">
            <v>21.5</v>
          </cell>
          <cell r="DK82">
            <v>21.8</v>
          </cell>
          <cell r="DL82">
            <v>5.3</v>
          </cell>
          <cell r="DM82">
            <v>47.4</v>
          </cell>
          <cell r="DN82">
            <v>7.9</v>
          </cell>
          <cell r="DO82">
            <v>25.6</v>
          </cell>
          <cell r="DP82">
            <v>20.8</v>
          </cell>
          <cell r="DQ82">
            <v>6.2</v>
          </cell>
          <cell r="DR82">
            <v>4.9000000000000004</v>
          </cell>
          <cell r="DS82">
            <v>28.599999999999998</v>
          </cell>
          <cell r="DT82">
            <v>27.500000000000004</v>
          </cell>
          <cell r="DU82">
            <v>0</v>
          </cell>
          <cell r="DV82">
            <v>0</v>
          </cell>
          <cell r="DW82">
            <v>0</v>
          </cell>
          <cell r="DX82">
            <v>0</v>
          </cell>
          <cell r="DY82">
            <v>0</v>
          </cell>
          <cell r="DZ82">
            <v>0</v>
          </cell>
          <cell r="EA82">
            <v>0</v>
          </cell>
          <cell r="EB82">
            <v>0</v>
          </cell>
          <cell r="EC82" t="str">
            <v>nd</v>
          </cell>
          <cell r="ED82">
            <v>6.4403983999999994</v>
          </cell>
          <cell r="EE82">
            <v>0</v>
          </cell>
          <cell r="EF82">
            <v>0</v>
          </cell>
          <cell r="EG82">
            <v>2.72342</v>
          </cell>
          <cell r="EH82">
            <v>26.222456300000001</v>
          </cell>
          <cell r="EI82">
            <v>18.456306699999999</v>
          </cell>
          <cell r="EJ82">
            <v>3.8741600000000003</v>
          </cell>
          <cell r="EK82" t="str">
            <v>nd</v>
          </cell>
          <cell r="EL82">
            <v>2.2647400000000002</v>
          </cell>
          <cell r="EM82" t="str">
            <v>nd</v>
          </cell>
          <cell r="EN82" t="str">
            <v>nd</v>
          </cell>
          <cell r="EO82">
            <v>5.5640599999999996</v>
          </cell>
          <cell r="EP82">
            <v>16.795547899999999</v>
          </cell>
          <cell r="EQ82">
            <v>5.9141899999999996</v>
          </cell>
          <cell r="ER82">
            <v>0</v>
          </cell>
          <cell r="ES82" t="str">
            <v>nd</v>
          </cell>
          <cell r="ET82">
            <v>0</v>
          </cell>
          <cell r="EU82">
            <v>0</v>
          </cell>
          <cell r="EV82">
            <v>0</v>
          </cell>
          <cell r="EW82">
            <v>0</v>
          </cell>
          <cell r="EX82">
            <v>0</v>
          </cell>
          <cell r="EY82">
            <v>0</v>
          </cell>
          <cell r="EZ82">
            <v>0</v>
          </cell>
          <cell r="FA82">
            <v>0</v>
          </cell>
          <cell r="FB82">
            <v>0</v>
          </cell>
          <cell r="FC82" t="str">
            <v>nd</v>
          </cell>
          <cell r="FD82" t="str">
            <v>nd</v>
          </cell>
          <cell r="FE82" t="str">
            <v>nd</v>
          </cell>
          <cell r="FF82">
            <v>0</v>
          </cell>
          <cell r="FG82">
            <v>0</v>
          </cell>
          <cell r="FH82">
            <v>0</v>
          </cell>
          <cell r="FI82">
            <v>9.9897264000000003</v>
          </cell>
          <cell r="FJ82">
            <v>24.219349100000002</v>
          </cell>
          <cell r="FK82">
            <v>13.839651999999999</v>
          </cell>
          <cell r="FL82">
            <v>3.4374599999999997</v>
          </cell>
          <cell r="FM82" t="str">
            <v>nd</v>
          </cell>
          <cell r="FN82">
            <v>0</v>
          </cell>
          <cell r="FO82">
            <v>19.950248000000002</v>
          </cell>
          <cell r="FP82">
            <v>9.8343971999999997</v>
          </cell>
          <cell r="FQ82" t="str">
            <v>nd</v>
          </cell>
          <cell r="FR82">
            <v>1.5091699999999999</v>
          </cell>
          <cell r="FS82">
            <v>0</v>
          </cell>
          <cell r="FT82" t="str">
            <v>nd</v>
          </cell>
          <cell r="FU82">
            <v>0</v>
          </cell>
          <cell r="FV82">
            <v>0</v>
          </cell>
          <cell r="FW82" t="str">
            <v>nd</v>
          </cell>
          <cell r="FX82">
            <v>0</v>
          </cell>
          <cell r="FY82">
            <v>0</v>
          </cell>
          <cell r="FZ82">
            <v>0</v>
          </cell>
          <cell r="GA82">
            <v>0</v>
          </cell>
          <cell r="GB82">
            <v>0</v>
          </cell>
          <cell r="GC82">
            <v>0</v>
          </cell>
          <cell r="GD82">
            <v>0</v>
          </cell>
          <cell r="GE82">
            <v>0</v>
          </cell>
          <cell r="GF82">
            <v>0</v>
          </cell>
          <cell r="GG82">
            <v>0</v>
          </cell>
          <cell r="GH82">
            <v>0</v>
          </cell>
          <cell r="GI82" t="str">
            <v>nd</v>
          </cell>
          <cell r="GJ82" t="str">
            <v>nd</v>
          </cell>
          <cell r="GK82">
            <v>0</v>
          </cell>
          <cell r="GL82">
            <v>0</v>
          </cell>
          <cell r="GM82">
            <v>0</v>
          </cell>
          <cell r="GN82">
            <v>5.2138099999999996</v>
          </cell>
          <cell r="GO82">
            <v>21.516212100000001</v>
          </cell>
          <cell r="GP82">
            <v>14.7005541</v>
          </cell>
          <cell r="GQ82">
            <v>14.935528700000001</v>
          </cell>
          <cell r="GR82">
            <v>0</v>
          </cell>
          <cell r="GS82">
            <v>0</v>
          </cell>
          <cell r="GT82">
            <v>0</v>
          </cell>
          <cell r="GU82" t="str">
            <v>nd</v>
          </cell>
          <cell r="GV82">
            <v>8.0596691000000007</v>
          </cell>
          <cell r="GW82">
            <v>25.355578299999998</v>
          </cell>
          <cell r="GX82">
            <v>0</v>
          </cell>
          <cell r="GY82">
            <v>0</v>
          </cell>
          <cell r="GZ82">
            <v>0</v>
          </cell>
          <cell r="HA82">
            <v>0</v>
          </cell>
          <cell r="HB82" t="str">
            <v>nd</v>
          </cell>
          <cell r="HC82">
            <v>0</v>
          </cell>
          <cell r="HD82">
            <v>0</v>
          </cell>
          <cell r="HE82">
            <v>0</v>
          </cell>
          <cell r="HF82">
            <v>0</v>
          </cell>
          <cell r="HG82">
            <v>0</v>
          </cell>
          <cell r="HH82">
            <v>0</v>
          </cell>
          <cell r="HI82">
            <v>0</v>
          </cell>
          <cell r="HJ82">
            <v>0</v>
          </cell>
          <cell r="HK82">
            <v>0</v>
          </cell>
          <cell r="HL82">
            <v>0</v>
          </cell>
          <cell r="HM82">
            <v>9.5417068</v>
          </cell>
          <cell r="HN82">
            <v>0</v>
          </cell>
          <cell r="HO82">
            <v>0</v>
          </cell>
          <cell r="HP82">
            <v>0</v>
          </cell>
          <cell r="HQ82">
            <v>0</v>
          </cell>
          <cell r="HR82">
            <v>9.3967489000000004</v>
          </cell>
          <cell r="HS82">
            <v>38.651593400000003</v>
          </cell>
          <cell r="HT82">
            <v>5.55647</v>
          </cell>
          <cell r="HU82">
            <v>0</v>
          </cell>
          <cell r="HV82">
            <v>0</v>
          </cell>
          <cell r="HW82">
            <v>0</v>
          </cell>
          <cell r="HX82">
            <v>0</v>
          </cell>
          <cell r="HY82">
            <v>33.713358300000003</v>
          </cell>
          <cell r="HZ82">
            <v>0</v>
          </cell>
          <cell r="IA82">
            <v>0</v>
          </cell>
          <cell r="IB82">
            <v>0</v>
          </cell>
          <cell r="IC82">
            <v>0</v>
          </cell>
          <cell r="ID82">
            <v>0</v>
          </cell>
          <cell r="IE82" t="str">
            <v>nd</v>
          </cell>
          <cell r="IF82">
            <v>0</v>
          </cell>
          <cell r="IG82">
            <v>0</v>
          </cell>
          <cell r="IH82">
            <v>0</v>
          </cell>
          <cell r="II82">
            <v>0</v>
          </cell>
          <cell r="IJ82">
            <v>0</v>
          </cell>
          <cell r="IK82">
            <v>0</v>
          </cell>
          <cell r="IL82">
            <v>0</v>
          </cell>
          <cell r="IM82">
            <v>0</v>
          </cell>
          <cell r="IN82">
            <v>0</v>
          </cell>
          <cell r="IO82">
            <v>0</v>
          </cell>
          <cell r="IP82">
            <v>6.8055594999999993</v>
          </cell>
          <cell r="IQ82" t="str">
            <v>nd</v>
          </cell>
          <cell r="IR82">
            <v>0</v>
          </cell>
          <cell r="IS82">
            <v>0</v>
          </cell>
          <cell r="IT82">
            <v>0</v>
          </cell>
          <cell r="IU82">
            <v>10.7380166</v>
          </cell>
          <cell r="IV82">
            <v>41.931604999999998</v>
          </cell>
          <cell r="IW82" t="str">
            <v>nd</v>
          </cell>
          <cell r="IX82">
            <v>0</v>
          </cell>
          <cell r="IY82">
            <v>0</v>
          </cell>
          <cell r="IZ82">
            <v>0</v>
          </cell>
          <cell r="JA82">
            <v>2.9931000000000001</v>
          </cell>
          <cell r="JB82">
            <v>27.617903100000003</v>
          </cell>
          <cell r="JC82" t="str">
            <v>nd</v>
          </cell>
          <cell r="JD82">
            <v>0</v>
          </cell>
          <cell r="JE82">
            <v>0</v>
          </cell>
          <cell r="JF82">
            <v>0</v>
          </cell>
          <cell r="JG82">
            <v>0</v>
          </cell>
          <cell r="JH82" t="str">
            <v>nd</v>
          </cell>
          <cell r="JI82">
            <v>0</v>
          </cell>
          <cell r="JJ82">
            <v>0</v>
          </cell>
          <cell r="JK82">
            <v>0</v>
          </cell>
          <cell r="JL82">
            <v>0</v>
          </cell>
          <cell r="JM82">
            <v>0</v>
          </cell>
          <cell r="JN82">
            <v>0</v>
          </cell>
          <cell r="JO82">
            <v>0</v>
          </cell>
          <cell r="JP82">
            <v>0</v>
          </cell>
          <cell r="JQ82">
            <v>0</v>
          </cell>
          <cell r="JR82">
            <v>0</v>
          </cell>
          <cell r="JS82">
            <v>0</v>
          </cell>
          <cell r="JT82">
            <v>10.035231400000001</v>
          </cell>
          <cell r="JU82">
            <v>0</v>
          </cell>
          <cell r="JV82">
            <v>0</v>
          </cell>
          <cell r="JW82">
            <v>0</v>
          </cell>
          <cell r="JX82">
            <v>0</v>
          </cell>
          <cell r="JY82" t="str">
            <v>nd</v>
          </cell>
          <cell r="JZ82">
            <v>52.725714799999999</v>
          </cell>
          <cell r="KA82">
            <v>0</v>
          </cell>
          <cell r="KB82">
            <v>0</v>
          </cell>
          <cell r="KC82">
            <v>0</v>
          </cell>
          <cell r="KD82">
            <v>0</v>
          </cell>
          <cell r="KE82">
            <v>0</v>
          </cell>
          <cell r="KF82">
            <v>32.934780099999998</v>
          </cell>
          <cell r="KG82">
            <v>0</v>
          </cell>
          <cell r="KH82">
            <v>0</v>
          </cell>
          <cell r="KI82">
            <v>0</v>
          </cell>
          <cell r="KJ82">
            <v>0</v>
          </cell>
          <cell r="KK82">
            <v>0</v>
          </cell>
          <cell r="KL82" t="str">
            <v>nd</v>
          </cell>
          <cell r="KM82">
            <v>21.5</v>
          </cell>
          <cell r="KN82">
            <v>59.4</v>
          </cell>
          <cell r="KO82">
            <v>6.9</v>
          </cell>
          <cell r="KP82">
            <v>6</v>
          </cell>
          <cell r="KQ82">
            <v>6.1</v>
          </cell>
          <cell r="KR82">
            <v>0.1</v>
          </cell>
          <cell r="KS82">
            <v>21.6</v>
          </cell>
          <cell r="KT82">
            <v>56.399999999999991</v>
          </cell>
          <cell r="KU82">
            <v>8.6999999999999993</v>
          </cell>
          <cell r="KV82">
            <v>6.4</v>
          </cell>
          <cell r="KW82">
            <v>6.8000000000000007</v>
          </cell>
          <cell r="KX82">
            <v>0.1</v>
          </cell>
          <cell r="KY82"/>
          <cell r="KZ82"/>
          <cell r="LA82"/>
          <cell r="LB82"/>
          <cell r="LC82"/>
          <cell r="LD82"/>
          <cell r="LE82"/>
          <cell r="LF82"/>
          <cell r="LG82"/>
          <cell r="LH82"/>
          <cell r="LI82"/>
          <cell r="LJ82"/>
          <cell r="LK82"/>
          <cell r="LL82"/>
          <cell r="LM82"/>
          <cell r="LN82"/>
          <cell r="LO82"/>
        </row>
        <row r="83">
          <cell r="A83" t="str">
            <v>6JZ</v>
          </cell>
          <cell r="B83" t="str">
            <v>83</v>
          </cell>
          <cell r="C83" t="str">
            <v>NAF 17</v>
          </cell>
          <cell r="D83" t="str">
            <v>JZ</v>
          </cell>
          <cell r="E83" t="str">
            <v>6</v>
          </cell>
          <cell r="F83">
            <v>0</v>
          </cell>
          <cell r="G83">
            <v>3.1</v>
          </cell>
          <cell r="H83">
            <v>73.7</v>
          </cell>
          <cell r="I83">
            <v>21.6</v>
          </cell>
          <cell r="J83">
            <v>1.7000000000000002</v>
          </cell>
          <cell r="K83">
            <v>93</v>
          </cell>
          <cell r="L83">
            <v>1.3</v>
          </cell>
          <cell r="M83">
            <v>1.4000000000000001</v>
          </cell>
          <cell r="N83">
            <v>4.3</v>
          </cell>
          <cell r="O83">
            <v>43.9</v>
          </cell>
          <cell r="P83">
            <v>57.599999999999994</v>
          </cell>
          <cell r="Q83">
            <v>0.6</v>
          </cell>
          <cell r="R83">
            <v>1.3</v>
          </cell>
          <cell r="S83">
            <v>3.5999999999999996</v>
          </cell>
          <cell r="T83">
            <v>48.3</v>
          </cell>
          <cell r="U83" t="str">
            <v>nd</v>
          </cell>
          <cell r="V83">
            <v>20</v>
          </cell>
          <cell r="W83">
            <v>12.1</v>
          </cell>
          <cell r="X83">
            <v>85.8</v>
          </cell>
          <cell r="Y83">
            <v>2.1</v>
          </cell>
          <cell r="Z83">
            <v>29.2</v>
          </cell>
          <cell r="AA83">
            <v>49.2</v>
          </cell>
          <cell r="AB83">
            <v>35</v>
          </cell>
          <cell r="AC83">
            <v>69.199999999999989</v>
          </cell>
          <cell r="AD83">
            <v>15</v>
          </cell>
          <cell r="AE83">
            <v>54.2</v>
          </cell>
          <cell r="AF83">
            <v>45.800000000000004</v>
          </cell>
          <cell r="AG83">
            <v>54.300000000000004</v>
          </cell>
          <cell r="AH83">
            <v>45.7</v>
          </cell>
          <cell r="AI83">
            <v>71.899999999999991</v>
          </cell>
          <cell r="AJ83">
            <v>6.4</v>
          </cell>
          <cell r="AK83">
            <v>2.1999999999999997</v>
          </cell>
          <cell r="AL83">
            <v>16</v>
          </cell>
          <cell r="AM83">
            <v>3.5000000000000004</v>
          </cell>
          <cell r="AN83">
            <v>17.100000000000001</v>
          </cell>
          <cell r="AO83">
            <v>0</v>
          </cell>
          <cell r="AP83">
            <v>42.5</v>
          </cell>
          <cell r="AQ83">
            <v>20.100000000000001</v>
          </cell>
          <cell r="AR83">
            <v>20.3</v>
          </cell>
          <cell r="AS83">
            <v>3</v>
          </cell>
          <cell r="AT83">
            <v>8.6999999999999993</v>
          </cell>
          <cell r="AU83">
            <v>6.5</v>
          </cell>
          <cell r="AV83">
            <v>43.5</v>
          </cell>
          <cell r="AW83">
            <v>35.4</v>
          </cell>
          <cell r="AX83">
            <v>2.8000000000000003</v>
          </cell>
          <cell r="AY83">
            <v>30.7</v>
          </cell>
          <cell r="AZ83">
            <v>34.200000000000003</v>
          </cell>
          <cell r="BA83">
            <v>26.200000000000003</v>
          </cell>
          <cell r="BB83">
            <v>5.7</v>
          </cell>
          <cell r="BC83">
            <v>3.2</v>
          </cell>
          <cell r="BD83">
            <v>0</v>
          </cell>
          <cell r="BE83">
            <v>0</v>
          </cell>
          <cell r="BF83">
            <v>1</v>
          </cell>
          <cell r="BG83">
            <v>3</v>
          </cell>
          <cell r="BH83">
            <v>2.4</v>
          </cell>
          <cell r="BI83">
            <v>39.200000000000003</v>
          </cell>
          <cell r="BJ83">
            <v>54.300000000000004</v>
          </cell>
          <cell r="BK83">
            <v>0</v>
          </cell>
          <cell r="BL83">
            <v>0</v>
          </cell>
          <cell r="BM83">
            <v>0</v>
          </cell>
          <cell r="BN83">
            <v>14.899999999999999</v>
          </cell>
          <cell r="BO83">
            <v>83.5</v>
          </cell>
          <cell r="BP83">
            <v>1.6</v>
          </cell>
          <cell r="BQ83">
            <v>0</v>
          </cell>
          <cell r="BR83" t="str">
            <v>nd</v>
          </cell>
          <cell r="BS83">
            <v>22.5</v>
          </cell>
          <cell r="BT83">
            <v>14.099999999999998</v>
          </cell>
          <cell r="BU83">
            <v>62.8</v>
          </cell>
          <cell r="BV83">
            <v>0</v>
          </cell>
          <cell r="BW83">
            <v>0</v>
          </cell>
          <cell r="BX83">
            <v>0</v>
          </cell>
          <cell r="BY83">
            <v>0</v>
          </cell>
          <cell r="BZ83">
            <v>0</v>
          </cell>
          <cell r="CA83" t="str">
            <v>nd</v>
          </cell>
          <cell r="CB83">
            <v>79</v>
          </cell>
          <cell r="CC83">
            <v>5.4</v>
          </cell>
          <cell r="CD83">
            <v>7.7</v>
          </cell>
          <cell r="CE83">
            <v>0</v>
          </cell>
          <cell r="CF83" t="str">
            <v>nd</v>
          </cell>
          <cell r="CG83">
            <v>0</v>
          </cell>
          <cell r="CH83">
            <v>22.400000000000002</v>
          </cell>
          <cell r="CI83">
            <v>13.3</v>
          </cell>
          <cell r="CJ83">
            <v>72.3</v>
          </cell>
          <cell r="CK83">
            <v>65.600000000000009</v>
          </cell>
          <cell r="CL83">
            <v>4.7</v>
          </cell>
          <cell r="CM83" t="str">
            <v>nd</v>
          </cell>
          <cell r="CN83" t="str">
            <v>nd</v>
          </cell>
          <cell r="CO83">
            <v>33.200000000000003</v>
          </cell>
          <cell r="CP83">
            <v>28.999999999999996</v>
          </cell>
          <cell r="CQ83">
            <v>10.9</v>
          </cell>
          <cell r="CR83">
            <v>19.7</v>
          </cell>
          <cell r="CS83">
            <v>40.5</v>
          </cell>
          <cell r="CT83">
            <v>43.7</v>
          </cell>
          <cell r="CU83">
            <v>56.3</v>
          </cell>
          <cell r="CV83">
            <v>53</v>
          </cell>
          <cell r="CW83">
            <v>47</v>
          </cell>
          <cell r="CX83">
            <v>55.800000000000004</v>
          </cell>
          <cell r="CY83">
            <v>15</v>
          </cell>
          <cell r="CZ83">
            <v>29.2</v>
          </cell>
          <cell r="DA83">
            <v>7.1</v>
          </cell>
          <cell r="DB83" t="str">
            <v>nd</v>
          </cell>
          <cell r="DC83" t="str">
            <v>nd</v>
          </cell>
          <cell r="DD83">
            <v>0</v>
          </cell>
          <cell r="DE83">
            <v>87</v>
          </cell>
          <cell r="DF83">
            <v>9</v>
          </cell>
          <cell r="DG83">
            <v>3</v>
          </cell>
          <cell r="DH83">
            <v>5.3</v>
          </cell>
          <cell r="DI83">
            <v>33.200000000000003</v>
          </cell>
          <cell r="DJ83">
            <v>32.5</v>
          </cell>
          <cell r="DK83">
            <v>17</v>
          </cell>
          <cell r="DL83">
            <v>10.100000000000001</v>
          </cell>
          <cell r="DM83">
            <v>39.5</v>
          </cell>
          <cell r="DN83">
            <v>1.5</v>
          </cell>
          <cell r="DO83">
            <v>39.200000000000003</v>
          </cell>
          <cell r="DP83">
            <v>38.800000000000004</v>
          </cell>
          <cell r="DQ83">
            <v>28.4</v>
          </cell>
          <cell r="DR83">
            <v>1.5</v>
          </cell>
          <cell r="DS83">
            <v>44</v>
          </cell>
          <cell r="DT83">
            <v>12.5</v>
          </cell>
          <cell r="DU83">
            <v>0</v>
          </cell>
          <cell r="DV83">
            <v>0</v>
          </cell>
          <cell r="DW83">
            <v>0</v>
          </cell>
          <cell r="DX83">
            <v>0</v>
          </cell>
          <cell r="DY83">
            <v>0</v>
          </cell>
          <cell r="DZ83" t="str">
            <v>nd</v>
          </cell>
          <cell r="EA83" t="str">
            <v>nd</v>
          </cell>
          <cell r="EB83">
            <v>0</v>
          </cell>
          <cell r="EC83">
            <v>1.1047499999999999</v>
          </cell>
          <cell r="ED83" t="str">
            <v>nd</v>
          </cell>
          <cell r="EE83">
            <v>0</v>
          </cell>
          <cell r="EF83">
            <v>2.5880199999999998</v>
          </cell>
          <cell r="EG83">
            <v>5.8633499999999996</v>
          </cell>
          <cell r="EH83">
            <v>4.8146100000000001</v>
          </cell>
          <cell r="EI83">
            <v>37.156260600000003</v>
          </cell>
          <cell r="EJ83">
            <v>21.921717600000001</v>
          </cell>
          <cell r="EK83">
            <v>0.85197999999999996</v>
          </cell>
          <cell r="EL83">
            <v>0.38952999999999999</v>
          </cell>
          <cell r="EM83" t="str">
            <v>nd</v>
          </cell>
          <cell r="EN83" t="str">
            <v>nd</v>
          </cell>
          <cell r="EO83">
            <v>5.2782999999999998</v>
          </cell>
          <cell r="EP83">
            <v>11.8384325</v>
          </cell>
          <cell r="EQ83">
            <v>1.9690200000000002</v>
          </cell>
          <cell r="ER83">
            <v>0</v>
          </cell>
          <cell r="ES83">
            <v>1.6758</v>
          </cell>
          <cell r="ET83">
            <v>0</v>
          </cell>
          <cell r="EU83">
            <v>0</v>
          </cell>
          <cell r="EV83">
            <v>0</v>
          </cell>
          <cell r="EW83">
            <v>0</v>
          </cell>
          <cell r="EX83">
            <v>0</v>
          </cell>
          <cell r="EY83">
            <v>0</v>
          </cell>
          <cell r="EZ83">
            <v>0</v>
          </cell>
          <cell r="FA83">
            <v>0</v>
          </cell>
          <cell r="FB83">
            <v>0</v>
          </cell>
          <cell r="FC83" t="str">
            <v>nd</v>
          </cell>
          <cell r="FD83">
            <v>0.92174</v>
          </cell>
          <cell r="FE83">
            <v>0</v>
          </cell>
          <cell r="FF83" t="str">
            <v>nd</v>
          </cell>
          <cell r="FG83" t="str">
            <v>nd</v>
          </cell>
          <cell r="FH83">
            <v>0</v>
          </cell>
          <cell r="FI83">
            <v>15.686792299999999</v>
          </cell>
          <cell r="FJ83">
            <v>26.748292200000002</v>
          </cell>
          <cell r="FK83">
            <v>24.5920253</v>
          </cell>
          <cell r="FL83">
            <v>3.1308199999999999</v>
          </cell>
          <cell r="FM83">
            <v>2.8895899999999997</v>
          </cell>
          <cell r="FN83">
            <v>0</v>
          </cell>
          <cell r="FO83">
            <v>14.0166588</v>
          </cell>
          <cell r="FP83">
            <v>6.5092450999999993</v>
          </cell>
          <cell r="FQ83" t="str">
            <v>nd</v>
          </cell>
          <cell r="FR83" t="str">
            <v>nd</v>
          </cell>
          <cell r="FS83" t="str">
            <v>nd</v>
          </cell>
          <cell r="FT83">
            <v>0</v>
          </cell>
          <cell r="FU83">
            <v>0</v>
          </cell>
          <cell r="FV83">
            <v>0</v>
          </cell>
          <cell r="FW83" t="str">
            <v>nd</v>
          </cell>
          <cell r="FX83" t="str">
            <v>nd</v>
          </cell>
          <cell r="FY83">
            <v>0</v>
          </cell>
          <cell r="FZ83">
            <v>0</v>
          </cell>
          <cell r="GA83">
            <v>0</v>
          </cell>
          <cell r="GB83">
            <v>0</v>
          </cell>
          <cell r="GC83">
            <v>0</v>
          </cell>
          <cell r="GD83">
            <v>0</v>
          </cell>
          <cell r="GE83">
            <v>0</v>
          </cell>
          <cell r="GF83">
            <v>0</v>
          </cell>
          <cell r="GG83" t="str">
            <v>nd</v>
          </cell>
          <cell r="GH83">
            <v>0</v>
          </cell>
          <cell r="GI83" t="str">
            <v>nd</v>
          </cell>
          <cell r="GJ83">
            <v>1.31595</v>
          </cell>
          <cell r="GK83" t="str">
            <v>nd</v>
          </cell>
          <cell r="GL83">
            <v>0</v>
          </cell>
          <cell r="GM83" t="str">
            <v>nd</v>
          </cell>
          <cell r="GN83">
            <v>3.0092300000000001</v>
          </cell>
          <cell r="GO83">
            <v>1.38066</v>
          </cell>
          <cell r="GP83">
            <v>34.294001000000002</v>
          </cell>
          <cell r="GQ83">
            <v>34.609598900000002</v>
          </cell>
          <cell r="GR83">
            <v>0</v>
          </cell>
          <cell r="GS83">
            <v>0</v>
          </cell>
          <cell r="GT83">
            <v>0</v>
          </cell>
          <cell r="GU83">
            <v>0</v>
          </cell>
          <cell r="GV83">
            <v>2.4161800000000002</v>
          </cell>
          <cell r="GW83">
            <v>19.085433399999999</v>
          </cell>
          <cell r="GX83">
            <v>0</v>
          </cell>
          <cell r="GY83">
            <v>0</v>
          </cell>
          <cell r="GZ83">
            <v>0</v>
          </cell>
          <cell r="HA83">
            <v>0</v>
          </cell>
          <cell r="HB83" t="str">
            <v>nd</v>
          </cell>
          <cell r="HC83" t="str">
            <v>nd</v>
          </cell>
          <cell r="HD83">
            <v>0</v>
          </cell>
          <cell r="HE83">
            <v>0</v>
          </cell>
          <cell r="HF83">
            <v>0</v>
          </cell>
          <cell r="HG83">
            <v>0</v>
          </cell>
          <cell r="HH83">
            <v>0</v>
          </cell>
          <cell r="HI83">
            <v>0</v>
          </cell>
          <cell r="HJ83">
            <v>0</v>
          </cell>
          <cell r="HK83">
            <v>0</v>
          </cell>
          <cell r="HL83" t="str">
            <v>nd</v>
          </cell>
          <cell r="HM83">
            <v>2.91221</v>
          </cell>
          <cell r="HN83">
            <v>0</v>
          </cell>
          <cell r="HO83">
            <v>0</v>
          </cell>
          <cell r="HP83">
            <v>0</v>
          </cell>
          <cell r="HQ83">
            <v>0</v>
          </cell>
          <cell r="HR83">
            <v>14.414496199999999</v>
          </cell>
          <cell r="HS83">
            <v>58.222539900000001</v>
          </cell>
          <cell r="HT83">
            <v>1.0531600000000001</v>
          </cell>
          <cell r="HU83">
            <v>0</v>
          </cell>
          <cell r="HV83">
            <v>0</v>
          </cell>
          <cell r="HW83">
            <v>0</v>
          </cell>
          <cell r="HX83" t="str">
            <v>nd</v>
          </cell>
          <cell r="HY83">
            <v>20.688196699999999</v>
          </cell>
          <cell r="HZ83" t="str">
            <v>nd</v>
          </cell>
          <cell r="IA83">
            <v>0</v>
          </cell>
          <cell r="IB83">
            <v>0</v>
          </cell>
          <cell r="IC83">
            <v>0</v>
          </cell>
          <cell r="ID83">
            <v>0</v>
          </cell>
          <cell r="IE83">
            <v>1.6883300000000001</v>
          </cell>
          <cell r="IF83">
            <v>0</v>
          </cell>
          <cell r="IG83">
            <v>0</v>
          </cell>
          <cell r="IH83">
            <v>0</v>
          </cell>
          <cell r="II83">
            <v>0</v>
          </cell>
          <cell r="IJ83">
            <v>0</v>
          </cell>
          <cell r="IK83">
            <v>0</v>
          </cell>
          <cell r="IL83">
            <v>0</v>
          </cell>
          <cell r="IM83">
            <v>0</v>
          </cell>
          <cell r="IN83" t="str">
            <v>nd</v>
          </cell>
          <cell r="IO83">
            <v>0.83970999999999996</v>
          </cell>
          <cell r="IP83">
            <v>1.68448</v>
          </cell>
          <cell r="IQ83">
            <v>0</v>
          </cell>
          <cell r="IR83">
            <v>0</v>
          </cell>
          <cell r="IS83" t="str">
            <v>nd</v>
          </cell>
          <cell r="IT83">
            <v>21.918511900000002</v>
          </cell>
          <cell r="IU83">
            <v>11.6972764</v>
          </cell>
          <cell r="IV83">
            <v>39.560935600000001</v>
          </cell>
          <cell r="IW83">
            <v>0</v>
          </cell>
          <cell r="IX83">
            <v>0</v>
          </cell>
          <cell r="IY83">
            <v>0</v>
          </cell>
          <cell r="IZ83">
            <v>0</v>
          </cell>
          <cell r="JA83">
            <v>1.6048300000000002</v>
          </cell>
          <cell r="JB83">
            <v>19.880636199999998</v>
          </cell>
          <cell r="JC83">
            <v>0</v>
          </cell>
          <cell r="JD83">
            <v>0</v>
          </cell>
          <cell r="JE83">
            <v>0</v>
          </cell>
          <cell r="JF83">
            <v>0</v>
          </cell>
          <cell r="JG83">
            <v>0</v>
          </cell>
          <cell r="JH83">
            <v>1.6853900000000002</v>
          </cell>
          <cell r="JI83">
            <v>0</v>
          </cell>
          <cell r="JJ83">
            <v>0</v>
          </cell>
          <cell r="JK83">
            <v>0</v>
          </cell>
          <cell r="JL83">
            <v>0</v>
          </cell>
          <cell r="JM83">
            <v>0</v>
          </cell>
          <cell r="JN83">
            <v>0</v>
          </cell>
          <cell r="JO83">
            <v>0</v>
          </cell>
          <cell r="JP83">
            <v>0</v>
          </cell>
          <cell r="JQ83">
            <v>0</v>
          </cell>
          <cell r="JR83">
            <v>0</v>
          </cell>
          <cell r="JS83">
            <v>0</v>
          </cell>
          <cell r="JT83">
            <v>3.1582199999999996</v>
          </cell>
          <cell r="JU83">
            <v>0</v>
          </cell>
          <cell r="JV83">
            <v>0</v>
          </cell>
          <cell r="JW83">
            <v>0</v>
          </cell>
          <cell r="JX83">
            <v>0</v>
          </cell>
          <cell r="JY83" t="str">
            <v>nd</v>
          </cell>
          <cell r="JZ83">
            <v>52.635874900000005</v>
          </cell>
          <cell r="KA83">
            <v>0</v>
          </cell>
          <cell r="KB83">
            <v>0</v>
          </cell>
          <cell r="KC83">
            <v>0</v>
          </cell>
          <cell r="KD83">
            <v>0</v>
          </cell>
          <cell r="KE83">
            <v>0</v>
          </cell>
          <cell r="KF83">
            <v>21.468666500000001</v>
          </cell>
          <cell r="KG83">
            <v>0</v>
          </cell>
          <cell r="KH83">
            <v>0</v>
          </cell>
          <cell r="KI83">
            <v>0</v>
          </cell>
          <cell r="KJ83">
            <v>0</v>
          </cell>
          <cell r="KK83">
            <v>0</v>
          </cell>
          <cell r="KL83">
            <v>1.7467400000000002</v>
          </cell>
          <cell r="KM83">
            <v>18.600000000000001</v>
          </cell>
          <cell r="KN83">
            <v>56.899999999999991</v>
          </cell>
          <cell r="KO83">
            <v>3.5000000000000004</v>
          </cell>
          <cell r="KP83">
            <v>6.5</v>
          </cell>
          <cell r="KQ83">
            <v>13.600000000000001</v>
          </cell>
          <cell r="KR83">
            <v>1</v>
          </cell>
          <cell r="KS83">
            <v>21.9</v>
          </cell>
          <cell r="KT83">
            <v>53.5</v>
          </cell>
          <cell r="KU83">
            <v>3.4000000000000004</v>
          </cell>
          <cell r="KV83">
            <v>7.3</v>
          </cell>
          <cell r="KW83">
            <v>12.8</v>
          </cell>
          <cell r="KX83">
            <v>1.0999999999999999</v>
          </cell>
          <cell r="KY83"/>
          <cell r="KZ83"/>
          <cell r="LA83"/>
          <cell r="LB83"/>
          <cell r="LC83"/>
          <cell r="LD83"/>
          <cell r="LE83"/>
          <cell r="LF83"/>
          <cell r="LG83"/>
          <cell r="LH83"/>
          <cell r="LI83"/>
          <cell r="LJ83"/>
          <cell r="LK83"/>
          <cell r="LL83"/>
          <cell r="LM83"/>
          <cell r="LN83"/>
          <cell r="LO83"/>
        </row>
        <row r="84">
          <cell r="A84" t="str">
            <v>EnsKZ</v>
          </cell>
          <cell r="B84" t="str">
            <v>84</v>
          </cell>
          <cell r="C84" t="str">
            <v>NAF 17</v>
          </cell>
          <cell r="D84" t="str">
            <v>KZ</v>
          </cell>
          <cell r="E84" t="str">
            <v/>
          </cell>
          <cell r="F84">
            <v>0</v>
          </cell>
          <cell r="G84">
            <v>2.5</v>
          </cell>
          <cell r="H84">
            <v>46.400000000000006</v>
          </cell>
          <cell r="I84">
            <v>40.300000000000004</v>
          </cell>
          <cell r="J84">
            <v>10.8</v>
          </cell>
          <cell r="K84">
            <v>76.099999999999994</v>
          </cell>
          <cell r="L84">
            <v>9.6</v>
          </cell>
          <cell r="M84">
            <v>3.1</v>
          </cell>
          <cell r="N84">
            <v>11.200000000000001</v>
          </cell>
          <cell r="O84">
            <v>9.5</v>
          </cell>
          <cell r="P84">
            <v>37.799999999999997</v>
          </cell>
          <cell r="Q84">
            <v>2.8000000000000003</v>
          </cell>
          <cell r="R84">
            <v>4.5</v>
          </cell>
          <cell r="S84">
            <v>9.9</v>
          </cell>
          <cell r="T84">
            <v>32.1</v>
          </cell>
          <cell r="U84">
            <v>4.5999999999999996</v>
          </cell>
          <cell r="V84">
            <v>29.9</v>
          </cell>
          <cell r="W84">
            <v>5.2</v>
          </cell>
          <cell r="X84">
            <v>90.2</v>
          </cell>
          <cell r="Y84">
            <v>4.5</v>
          </cell>
          <cell r="Z84" t="str">
            <v>nd</v>
          </cell>
          <cell r="AA84">
            <v>59.599999999999994</v>
          </cell>
          <cell r="AB84">
            <v>9.6</v>
          </cell>
          <cell r="AC84">
            <v>57.699999999999996</v>
          </cell>
          <cell r="AD84">
            <v>25</v>
          </cell>
          <cell r="AE84">
            <v>21.7</v>
          </cell>
          <cell r="AF84">
            <v>78.3</v>
          </cell>
          <cell r="AG84">
            <v>81.8</v>
          </cell>
          <cell r="AH84">
            <v>18.2</v>
          </cell>
          <cell r="AI84">
            <v>20.5</v>
          </cell>
          <cell r="AJ84">
            <v>4.7</v>
          </cell>
          <cell r="AK84">
            <v>1.4000000000000001</v>
          </cell>
          <cell r="AL84">
            <v>69.8</v>
          </cell>
          <cell r="AM84">
            <v>3.6999999999999997</v>
          </cell>
          <cell r="AN84">
            <v>7.0000000000000009</v>
          </cell>
          <cell r="AO84">
            <v>4.2</v>
          </cell>
          <cell r="AP84">
            <v>2.8000000000000003</v>
          </cell>
          <cell r="AQ84">
            <v>76.2</v>
          </cell>
          <cell r="AR84">
            <v>9.8000000000000007</v>
          </cell>
          <cell r="AS84">
            <v>24.9</v>
          </cell>
          <cell r="AT84">
            <v>23.9</v>
          </cell>
          <cell r="AU84">
            <v>26.700000000000003</v>
          </cell>
          <cell r="AV84">
            <v>16.3</v>
          </cell>
          <cell r="AW84">
            <v>5</v>
          </cell>
          <cell r="AX84">
            <v>3.1</v>
          </cell>
          <cell r="AY84">
            <v>12.6</v>
          </cell>
          <cell r="AZ84">
            <v>19.100000000000001</v>
          </cell>
          <cell r="BA84">
            <v>27.800000000000004</v>
          </cell>
          <cell r="BB84">
            <v>16.2</v>
          </cell>
          <cell r="BC84">
            <v>20</v>
          </cell>
          <cell r="BD84">
            <v>4.3</v>
          </cell>
          <cell r="BE84" t="str">
            <v>nd</v>
          </cell>
          <cell r="BF84">
            <v>0.3</v>
          </cell>
          <cell r="BG84">
            <v>0.4</v>
          </cell>
          <cell r="BH84">
            <v>1</v>
          </cell>
          <cell r="BI84">
            <v>18.7</v>
          </cell>
          <cell r="BJ84">
            <v>79.400000000000006</v>
          </cell>
          <cell r="BK84">
            <v>0</v>
          </cell>
          <cell r="BL84">
            <v>0</v>
          </cell>
          <cell r="BM84">
            <v>0</v>
          </cell>
          <cell r="BN84">
            <v>10.9</v>
          </cell>
          <cell r="BO84">
            <v>79.5</v>
          </cell>
          <cell r="BP84">
            <v>9.6</v>
          </cell>
          <cell r="BQ84">
            <v>0</v>
          </cell>
          <cell r="BR84" t="str">
            <v>nd</v>
          </cell>
          <cell r="BS84">
            <v>0.1</v>
          </cell>
          <cell r="BT84">
            <v>15.2</v>
          </cell>
          <cell r="BU84">
            <v>75.3</v>
          </cell>
          <cell r="BV84">
            <v>9.1999999999999993</v>
          </cell>
          <cell r="BW84">
            <v>0</v>
          </cell>
          <cell r="BX84">
            <v>0</v>
          </cell>
          <cell r="BY84">
            <v>0</v>
          </cell>
          <cell r="BZ84">
            <v>0</v>
          </cell>
          <cell r="CA84">
            <v>0.5</v>
          </cell>
          <cell r="CB84">
            <v>99.5</v>
          </cell>
          <cell r="CC84">
            <v>17.2</v>
          </cell>
          <cell r="CD84">
            <v>21.9</v>
          </cell>
          <cell r="CE84">
            <v>1.0999999999999999</v>
          </cell>
          <cell r="CF84" t="str">
            <v>nd</v>
          </cell>
          <cell r="CG84">
            <v>0</v>
          </cell>
          <cell r="CH84">
            <v>10.6</v>
          </cell>
          <cell r="CI84">
            <v>13.600000000000001</v>
          </cell>
          <cell r="CJ84">
            <v>64.900000000000006</v>
          </cell>
          <cell r="CK84">
            <v>51</v>
          </cell>
          <cell r="CL84">
            <v>6.4</v>
          </cell>
          <cell r="CM84">
            <v>0.8</v>
          </cell>
          <cell r="CN84">
            <v>0.6</v>
          </cell>
          <cell r="CO84">
            <v>48.1</v>
          </cell>
          <cell r="CP84">
            <v>23.7</v>
          </cell>
          <cell r="CQ84">
            <v>33.700000000000003</v>
          </cell>
          <cell r="CR84">
            <v>8.3000000000000007</v>
          </cell>
          <cell r="CS84">
            <v>34.4</v>
          </cell>
          <cell r="CT84">
            <v>17.100000000000001</v>
          </cell>
          <cell r="CU84">
            <v>82.899999999999991</v>
          </cell>
          <cell r="CV84">
            <v>35.799999999999997</v>
          </cell>
          <cell r="CW84">
            <v>64.2</v>
          </cell>
          <cell r="CX84">
            <v>47.3</v>
          </cell>
          <cell r="CY84">
            <v>24</v>
          </cell>
          <cell r="CZ84">
            <v>28.7</v>
          </cell>
          <cell r="DA84">
            <v>59.099999999999994</v>
          </cell>
          <cell r="DB84">
            <v>7.8</v>
          </cell>
          <cell r="DC84">
            <v>1.0999999999999999</v>
          </cell>
          <cell r="DD84" t="str">
            <v>nd</v>
          </cell>
          <cell r="DE84">
            <v>50.6</v>
          </cell>
          <cell r="DF84">
            <v>14.899999999999999</v>
          </cell>
          <cell r="DG84">
            <v>7.1</v>
          </cell>
          <cell r="DH84">
            <v>19.100000000000001</v>
          </cell>
          <cell r="DI84">
            <v>17.100000000000001</v>
          </cell>
          <cell r="DJ84">
            <v>13.8</v>
          </cell>
          <cell r="DK84">
            <v>28.000000000000004</v>
          </cell>
          <cell r="DL84">
            <v>14.000000000000002</v>
          </cell>
          <cell r="DM84">
            <v>30.4</v>
          </cell>
          <cell r="DN84">
            <v>7.0000000000000009</v>
          </cell>
          <cell r="DO84">
            <v>25.2</v>
          </cell>
          <cell r="DP84">
            <v>15.8</v>
          </cell>
          <cell r="DQ84">
            <v>10.299999999999999</v>
          </cell>
          <cell r="DR84">
            <v>1.0999999999999999</v>
          </cell>
          <cell r="DS84">
            <v>36.700000000000003</v>
          </cell>
          <cell r="DT84">
            <v>17.899999999999999</v>
          </cell>
          <cell r="DU84">
            <v>0</v>
          </cell>
          <cell r="DV84">
            <v>0</v>
          </cell>
          <cell r="DW84">
            <v>0</v>
          </cell>
          <cell r="DX84">
            <v>0</v>
          </cell>
          <cell r="DY84">
            <v>0</v>
          </cell>
          <cell r="DZ84">
            <v>0.30130299999999999</v>
          </cell>
          <cell r="EA84">
            <v>0.69067100000000003</v>
          </cell>
          <cell r="EB84">
            <v>0.242866</v>
          </cell>
          <cell r="EC84">
            <v>1.0719299999999998</v>
          </cell>
          <cell r="ED84" t="str">
            <v>nd</v>
          </cell>
          <cell r="EE84" t="str">
            <v>nd</v>
          </cell>
          <cell r="EF84">
            <v>7.9691678000000001</v>
          </cell>
          <cell r="EG84">
            <v>8.7407664999999994</v>
          </cell>
          <cell r="EH84">
            <v>18.667202799999998</v>
          </cell>
          <cell r="EI84">
            <v>9.1848887999999995</v>
          </cell>
          <cell r="EJ84">
            <v>1.1135000000000002</v>
          </cell>
          <cell r="EK84">
            <v>0.77465899999999999</v>
          </cell>
          <cell r="EL84">
            <v>13.391591799999999</v>
          </cell>
          <cell r="EM84">
            <v>12.3337431</v>
          </cell>
          <cell r="EN84">
            <v>6.2487000000000004</v>
          </cell>
          <cell r="EO84">
            <v>3.0850599999999999</v>
          </cell>
          <cell r="EP84">
            <v>3.5168900000000001</v>
          </cell>
          <cell r="EQ84">
            <v>1.6084700000000001</v>
          </cell>
          <cell r="ER84">
            <v>2.8197399999999999</v>
          </cell>
          <cell r="ES84">
            <v>2.29345</v>
          </cell>
          <cell r="ET84">
            <v>1.71492</v>
          </cell>
          <cell r="EU84">
            <v>2.9844499999999998</v>
          </cell>
          <cell r="EV84">
            <v>0.32699800000000001</v>
          </cell>
          <cell r="EW84">
            <v>0.70725700000000002</v>
          </cell>
          <cell r="EX84">
            <v>0</v>
          </cell>
          <cell r="EY84">
            <v>0</v>
          </cell>
          <cell r="EZ84">
            <v>0</v>
          </cell>
          <cell r="FA84">
            <v>0</v>
          </cell>
          <cell r="FB84">
            <v>0</v>
          </cell>
          <cell r="FC84">
            <v>0.57330999999999999</v>
          </cell>
          <cell r="FD84">
            <v>0.84306999999999999</v>
          </cell>
          <cell r="FE84" t="str">
            <v>nd</v>
          </cell>
          <cell r="FF84">
            <v>0.56512799999999996</v>
          </cell>
          <cell r="FG84">
            <v>0.191106</v>
          </cell>
          <cell r="FH84">
            <v>0.15120400000000001</v>
          </cell>
          <cell r="FI84">
            <v>5.1979299999999995</v>
          </cell>
          <cell r="FJ84">
            <v>10.167087700000002</v>
          </cell>
          <cell r="FK84">
            <v>15.172633099999999</v>
          </cell>
          <cell r="FL84">
            <v>6.5547101999999997</v>
          </cell>
          <cell r="FM84">
            <v>8.1717197000000006</v>
          </cell>
          <cell r="FN84">
            <v>1.5096699999999998</v>
          </cell>
          <cell r="FO84">
            <v>6.0156499999999999</v>
          </cell>
          <cell r="FP84">
            <v>5.0349199999999996</v>
          </cell>
          <cell r="FQ84">
            <v>9.7989208999999988</v>
          </cell>
          <cell r="FR84">
            <v>7.3322952999999993</v>
          </cell>
          <cell r="FS84">
            <v>9.5427976000000001</v>
          </cell>
          <cell r="FT84">
            <v>2.0912199999999999</v>
          </cell>
          <cell r="FU84">
            <v>0.85985</v>
          </cell>
          <cell r="FV84">
            <v>3.1237200000000001</v>
          </cell>
          <cell r="FW84">
            <v>2.7690399999999999</v>
          </cell>
          <cell r="FX84">
            <v>1.8547500000000001</v>
          </cell>
          <cell r="FY84">
            <v>1.7324699999999997</v>
          </cell>
          <cell r="FZ84">
            <v>0.552786</v>
          </cell>
          <cell r="GA84">
            <v>0</v>
          </cell>
          <cell r="GB84">
            <v>0</v>
          </cell>
          <cell r="GC84">
            <v>0</v>
          </cell>
          <cell r="GD84">
            <v>0</v>
          </cell>
          <cell r="GE84">
            <v>0</v>
          </cell>
          <cell r="GF84">
            <v>0</v>
          </cell>
          <cell r="GG84">
            <v>0.33760499999999999</v>
          </cell>
          <cell r="GH84" t="str">
            <v>nd</v>
          </cell>
          <cell r="GI84">
            <v>0.18243999999999999</v>
          </cell>
          <cell r="GJ84">
            <v>0.56151799999999996</v>
          </cell>
          <cell r="GK84">
            <v>1.4024699999999999</v>
          </cell>
          <cell r="GL84" t="str">
            <v>nd</v>
          </cell>
          <cell r="GM84">
            <v>0</v>
          </cell>
          <cell r="GN84">
            <v>0.31887199999999999</v>
          </cell>
          <cell r="GO84">
            <v>0.43069199999999996</v>
          </cell>
          <cell r="GP84">
            <v>9.8666929000000003</v>
          </cell>
          <cell r="GQ84">
            <v>36.431862100000004</v>
          </cell>
          <cell r="GR84">
            <v>0</v>
          </cell>
          <cell r="GS84">
            <v>0</v>
          </cell>
          <cell r="GT84" t="str">
            <v>nd</v>
          </cell>
          <cell r="GU84" t="str">
            <v>nd</v>
          </cell>
          <cell r="GV84">
            <v>6.861033599999999</v>
          </cell>
          <cell r="GW84">
            <v>32.242428099999998</v>
          </cell>
          <cell r="GX84">
            <v>0</v>
          </cell>
          <cell r="GY84">
            <v>0</v>
          </cell>
          <cell r="GZ84">
            <v>0</v>
          </cell>
          <cell r="HA84" t="str">
            <v>nd</v>
          </cell>
          <cell r="HB84">
            <v>1.23099</v>
          </cell>
          <cell r="HC84">
            <v>9.5322876999999995</v>
          </cell>
          <cell r="HD84">
            <v>0</v>
          </cell>
          <cell r="HE84">
            <v>0</v>
          </cell>
          <cell r="HF84">
            <v>0</v>
          </cell>
          <cell r="HG84">
            <v>0</v>
          </cell>
          <cell r="HH84">
            <v>0</v>
          </cell>
          <cell r="HI84">
            <v>0</v>
          </cell>
          <cell r="HJ84">
            <v>0</v>
          </cell>
          <cell r="HK84">
            <v>0</v>
          </cell>
          <cell r="HL84" t="str">
            <v>nd</v>
          </cell>
          <cell r="HM84">
            <v>1.5318699999999998</v>
          </cell>
          <cell r="HN84">
            <v>0.25659900000000002</v>
          </cell>
          <cell r="HO84">
            <v>0</v>
          </cell>
          <cell r="HP84">
            <v>0</v>
          </cell>
          <cell r="HQ84">
            <v>0</v>
          </cell>
          <cell r="HR84">
            <v>9.8044014999999991</v>
          </cell>
          <cell r="HS84">
            <v>34.742167099999996</v>
          </cell>
          <cell r="HT84">
            <v>2.2825299999999999</v>
          </cell>
          <cell r="HU84">
            <v>0</v>
          </cell>
          <cell r="HV84">
            <v>0</v>
          </cell>
          <cell r="HW84">
            <v>0</v>
          </cell>
          <cell r="HX84">
            <v>0.36848200000000003</v>
          </cell>
          <cell r="HY84">
            <v>33.811515700000001</v>
          </cell>
          <cell r="HZ84">
            <v>5.9396499999999994</v>
          </cell>
          <cell r="IA84">
            <v>0</v>
          </cell>
          <cell r="IB84">
            <v>0</v>
          </cell>
          <cell r="IC84">
            <v>0</v>
          </cell>
          <cell r="ID84" t="str">
            <v>nd</v>
          </cell>
          <cell r="IE84">
            <v>9.3015309000000013</v>
          </cell>
          <cell r="IF84">
            <v>1.1390600000000002</v>
          </cell>
          <cell r="IG84">
            <v>0</v>
          </cell>
          <cell r="IH84">
            <v>0</v>
          </cell>
          <cell r="II84">
            <v>0</v>
          </cell>
          <cell r="IJ84">
            <v>0</v>
          </cell>
          <cell r="IK84">
            <v>0</v>
          </cell>
          <cell r="IL84">
            <v>0</v>
          </cell>
          <cell r="IM84">
            <v>0</v>
          </cell>
          <cell r="IN84" t="str">
            <v>nd</v>
          </cell>
          <cell r="IO84">
            <v>0.761911</v>
          </cell>
          <cell r="IP84">
            <v>1.3869400000000001</v>
          </cell>
          <cell r="IQ84">
            <v>0.29148000000000002</v>
          </cell>
          <cell r="IR84">
            <v>0</v>
          </cell>
          <cell r="IS84">
            <v>0</v>
          </cell>
          <cell r="IT84" t="str">
            <v>nd</v>
          </cell>
          <cell r="IU84">
            <v>7.3212766</v>
          </cell>
          <cell r="IV84">
            <v>36.350798699999999</v>
          </cell>
          <cell r="IW84">
            <v>2.7183800000000002</v>
          </cell>
          <cell r="IX84">
            <v>0</v>
          </cell>
          <cell r="IY84" t="str">
            <v>nd</v>
          </cell>
          <cell r="IZ84">
            <v>0</v>
          </cell>
          <cell r="JA84">
            <v>4.9665599999999994</v>
          </cell>
          <cell r="JB84">
            <v>29.353617399999997</v>
          </cell>
          <cell r="JC84">
            <v>5.7177999999999995</v>
          </cell>
          <cell r="JD84">
            <v>0</v>
          </cell>
          <cell r="JE84">
            <v>0</v>
          </cell>
          <cell r="JF84" t="str">
            <v>nd</v>
          </cell>
          <cell r="JG84">
            <v>2.1669200000000002</v>
          </cell>
          <cell r="JH84">
            <v>8.1572037999999996</v>
          </cell>
          <cell r="JI84">
            <v>0.542045</v>
          </cell>
          <cell r="JJ84">
            <v>0</v>
          </cell>
          <cell r="JK84">
            <v>0</v>
          </cell>
          <cell r="JL84">
            <v>0</v>
          </cell>
          <cell r="JM84">
            <v>0</v>
          </cell>
          <cell r="JN84">
            <v>0</v>
          </cell>
          <cell r="JO84">
            <v>0</v>
          </cell>
          <cell r="JP84">
            <v>0</v>
          </cell>
          <cell r="JQ84">
            <v>0</v>
          </cell>
          <cell r="JR84">
            <v>0</v>
          </cell>
          <cell r="JS84">
            <v>0</v>
          </cell>
          <cell r="JT84">
            <v>2.47533</v>
          </cell>
          <cell r="JU84">
            <v>0</v>
          </cell>
          <cell r="JV84">
            <v>0</v>
          </cell>
          <cell r="JW84">
            <v>0</v>
          </cell>
          <cell r="JX84">
            <v>0</v>
          </cell>
          <cell r="JY84" t="str">
            <v>nd</v>
          </cell>
          <cell r="JZ84">
            <v>46.543742199999997</v>
          </cell>
          <cell r="KA84">
            <v>0</v>
          </cell>
          <cell r="KB84">
            <v>0</v>
          </cell>
          <cell r="KC84">
            <v>0</v>
          </cell>
          <cell r="KD84">
            <v>0</v>
          </cell>
          <cell r="KE84" t="str">
            <v>nd</v>
          </cell>
          <cell r="KF84">
            <v>39.666507299999999</v>
          </cell>
          <cell r="KG84">
            <v>0</v>
          </cell>
          <cell r="KH84">
            <v>0</v>
          </cell>
          <cell r="KI84">
            <v>0</v>
          </cell>
          <cell r="KJ84">
            <v>0</v>
          </cell>
          <cell r="KK84" t="str">
            <v>nd</v>
          </cell>
          <cell r="KL84">
            <v>10.8641024</v>
          </cell>
          <cell r="KM84">
            <v>49.2</v>
          </cell>
          <cell r="KN84">
            <v>36.700000000000003</v>
          </cell>
          <cell r="KO84">
            <v>1.5</v>
          </cell>
          <cell r="KP84">
            <v>5.8999999999999995</v>
          </cell>
          <cell r="KQ84">
            <v>6.6000000000000005</v>
          </cell>
          <cell r="KR84">
            <v>0.1</v>
          </cell>
          <cell r="KS84">
            <v>48</v>
          </cell>
          <cell r="KT84">
            <v>35.5</v>
          </cell>
          <cell r="KU84">
            <v>1.6</v>
          </cell>
          <cell r="KV84">
            <v>7.1</v>
          </cell>
          <cell r="KW84">
            <v>7.7</v>
          </cell>
          <cell r="KX84">
            <v>0.1</v>
          </cell>
          <cell r="KY84"/>
          <cell r="KZ84"/>
          <cell r="LA84"/>
          <cell r="LB84"/>
          <cell r="LC84"/>
          <cell r="LD84"/>
          <cell r="LE84"/>
          <cell r="LF84"/>
          <cell r="LG84"/>
          <cell r="LH84"/>
          <cell r="LI84"/>
          <cell r="LJ84"/>
          <cell r="LK84"/>
          <cell r="LL84"/>
          <cell r="LM84"/>
          <cell r="LN84"/>
          <cell r="LO84"/>
        </row>
        <row r="85">
          <cell r="A85" t="str">
            <v>1KZ</v>
          </cell>
          <cell r="B85" t="str">
            <v>85</v>
          </cell>
          <cell r="C85" t="str">
            <v>NAF 17</v>
          </cell>
          <cell r="D85" t="str">
            <v>KZ</v>
          </cell>
          <cell r="E85" t="str">
            <v>1</v>
          </cell>
          <cell r="F85">
            <v>0</v>
          </cell>
          <cell r="G85">
            <v>4.3</v>
          </cell>
          <cell r="H85">
            <v>31.900000000000002</v>
          </cell>
          <cell r="I85">
            <v>54.1</v>
          </cell>
          <cell r="J85">
            <v>9.7000000000000011</v>
          </cell>
          <cell r="K85">
            <v>56.599999999999994</v>
          </cell>
          <cell r="L85">
            <v>23.9</v>
          </cell>
          <cell r="M85" t="str">
            <v>nd</v>
          </cell>
          <cell r="N85">
            <v>15</v>
          </cell>
          <cell r="O85">
            <v>26.3</v>
          </cell>
          <cell r="P85">
            <v>36.4</v>
          </cell>
          <cell r="Q85">
            <v>9.7000000000000011</v>
          </cell>
          <cell r="R85" t="str">
            <v>nd</v>
          </cell>
          <cell r="S85">
            <v>3.4000000000000004</v>
          </cell>
          <cell r="T85">
            <v>24.099999999999998</v>
          </cell>
          <cell r="U85">
            <v>5.3</v>
          </cell>
          <cell r="V85">
            <v>28.199999999999996</v>
          </cell>
          <cell r="W85">
            <v>7.3</v>
          </cell>
          <cell r="X85">
            <v>90.8</v>
          </cell>
          <cell r="Y85">
            <v>1.9</v>
          </cell>
          <cell r="Z85" t="str">
            <v>nd</v>
          </cell>
          <cell r="AA85">
            <v>0</v>
          </cell>
          <cell r="AB85">
            <v>23.3</v>
          </cell>
          <cell r="AC85" t="str">
            <v>nd</v>
          </cell>
          <cell r="AD85">
            <v>69.899999999999991</v>
          </cell>
          <cell r="AE85">
            <v>34.4</v>
          </cell>
          <cell r="AF85">
            <v>65.600000000000009</v>
          </cell>
          <cell r="AG85">
            <v>24.4</v>
          </cell>
          <cell r="AH85">
            <v>75.599999999999994</v>
          </cell>
          <cell r="AI85">
            <v>64.8</v>
          </cell>
          <cell r="AJ85" t="str">
            <v>nd</v>
          </cell>
          <cell r="AK85" t="str">
            <v>nd</v>
          </cell>
          <cell r="AL85">
            <v>19.2</v>
          </cell>
          <cell r="AM85" t="str">
            <v>nd</v>
          </cell>
          <cell r="AN85" t="str">
            <v>nd</v>
          </cell>
          <cell r="AO85">
            <v>0</v>
          </cell>
          <cell r="AP85">
            <v>0</v>
          </cell>
          <cell r="AQ85">
            <v>84</v>
          </cell>
          <cell r="AR85">
            <v>6.4</v>
          </cell>
          <cell r="AS85">
            <v>52</v>
          </cell>
          <cell r="AT85">
            <v>14.7</v>
          </cell>
          <cell r="AU85">
            <v>6.7</v>
          </cell>
          <cell r="AV85">
            <v>7.5</v>
          </cell>
          <cell r="AW85" t="str">
            <v>nd</v>
          </cell>
          <cell r="AX85">
            <v>17.599999999999998</v>
          </cell>
          <cell r="AY85">
            <v>6.8000000000000007</v>
          </cell>
          <cell r="AZ85">
            <v>9.8000000000000007</v>
          </cell>
          <cell r="BA85">
            <v>7.8</v>
          </cell>
          <cell r="BB85">
            <v>12.2</v>
          </cell>
          <cell r="BC85">
            <v>23.5</v>
          </cell>
          <cell r="BD85">
            <v>39.900000000000006</v>
          </cell>
          <cell r="BE85" t="str">
            <v>nd</v>
          </cell>
          <cell r="BF85" t="str">
            <v>nd</v>
          </cell>
          <cell r="BG85" t="str">
            <v>nd</v>
          </cell>
          <cell r="BH85">
            <v>5.4</v>
          </cell>
          <cell r="BI85">
            <v>14.000000000000002</v>
          </cell>
          <cell r="BJ85">
            <v>76.5</v>
          </cell>
          <cell r="BK85">
            <v>0</v>
          </cell>
          <cell r="BL85">
            <v>0</v>
          </cell>
          <cell r="BM85">
            <v>0</v>
          </cell>
          <cell r="BN85">
            <v>2.7</v>
          </cell>
          <cell r="BO85">
            <v>21.9</v>
          </cell>
          <cell r="BP85">
            <v>75.400000000000006</v>
          </cell>
          <cell r="BQ85">
            <v>0</v>
          </cell>
          <cell r="BR85">
            <v>0</v>
          </cell>
          <cell r="BS85" t="str">
            <v>nd</v>
          </cell>
          <cell r="BT85">
            <v>3.8</v>
          </cell>
          <cell r="BU85">
            <v>28.799999999999997</v>
          </cell>
          <cell r="BV85">
            <v>66.7</v>
          </cell>
          <cell r="BW85">
            <v>0</v>
          </cell>
          <cell r="BX85">
            <v>0</v>
          </cell>
          <cell r="BY85">
            <v>0</v>
          </cell>
          <cell r="BZ85">
            <v>0</v>
          </cell>
          <cell r="CA85" t="str">
            <v>nd</v>
          </cell>
          <cell r="CB85">
            <v>98.9</v>
          </cell>
          <cell r="CC85">
            <v>11.5</v>
          </cell>
          <cell r="CD85">
            <v>6.8000000000000007</v>
          </cell>
          <cell r="CE85">
            <v>0</v>
          </cell>
          <cell r="CF85" t="str">
            <v>nd</v>
          </cell>
          <cell r="CG85">
            <v>0</v>
          </cell>
          <cell r="CH85">
            <v>9</v>
          </cell>
          <cell r="CI85">
            <v>8.6999999999999993</v>
          </cell>
          <cell r="CJ85">
            <v>75.3</v>
          </cell>
          <cell r="CK85">
            <v>28.9</v>
          </cell>
          <cell r="CL85" t="str">
            <v>nd</v>
          </cell>
          <cell r="CM85">
            <v>0</v>
          </cell>
          <cell r="CN85">
            <v>0</v>
          </cell>
          <cell r="CO85">
            <v>70.399999999999991</v>
          </cell>
          <cell r="CP85">
            <v>36.299999999999997</v>
          </cell>
          <cell r="CQ85">
            <v>18.7</v>
          </cell>
          <cell r="CR85">
            <v>6.1</v>
          </cell>
          <cell r="CS85">
            <v>38.9</v>
          </cell>
          <cell r="CT85">
            <v>12.7</v>
          </cell>
          <cell r="CU85">
            <v>87.3</v>
          </cell>
          <cell r="CV85">
            <v>8.9</v>
          </cell>
          <cell r="CW85">
            <v>91.100000000000009</v>
          </cell>
          <cell r="CX85">
            <v>15.4</v>
          </cell>
          <cell r="CY85">
            <v>23.799999999999997</v>
          </cell>
          <cell r="CZ85">
            <v>60.8</v>
          </cell>
          <cell r="DA85">
            <v>68.8</v>
          </cell>
          <cell r="DB85" t="str">
            <v>nd</v>
          </cell>
          <cell r="DC85" t="str">
            <v>nd</v>
          </cell>
          <cell r="DD85">
            <v>0</v>
          </cell>
          <cell r="DE85">
            <v>35.4</v>
          </cell>
          <cell r="DF85">
            <v>21</v>
          </cell>
          <cell r="DG85">
            <v>13</v>
          </cell>
          <cell r="DH85">
            <v>11.1</v>
          </cell>
          <cell r="DI85">
            <v>13.200000000000001</v>
          </cell>
          <cell r="DJ85">
            <v>14.099999999999998</v>
          </cell>
          <cell r="DK85">
            <v>27.6</v>
          </cell>
          <cell r="DL85">
            <v>34.4</v>
          </cell>
          <cell r="DM85">
            <v>28.000000000000004</v>
          </cell>
          <cell r="DN85">
            <v>2.1</v>
          </cell>
          <cell r="DO85">
            <v>14.499999999999998</v>
          </cell>
          <cell r="DP85">
            <v>4.2</v>
          </cell>
          <cell r="DQ85">
            <v>0</v>
          </cell>
          <cell r="DR85">
            <v>5.4</v>
          </cell>
          <cell r="DS85">
            <v>15.9</v>
          </cell>
          <cell r="DT85">
            <v>21.5</v>
          </cell>
          <cell r="DU85">
            <v>0</v>
          </cell>
          <cell r="DV85">
            <v>0</v>
          </cell>
          <cell r="DW85">
            <v>0</v>
          </cell>
          <cell r="DX85">
            <v>0</v>
          </cell>
          <cell r="DY85">
            <v>0</v>
          </cell>
          <cell r="DZ85" t="str">
            <v>nd</v>
          </cell>
          <cell r="EA85" t="str">
            <v>nd</v>
          </cell>
          <cell r="EB85">
            <v>0</v>
          </cell>
          <cell r="EC85" t="str">
            <v>nd</v>
          </cell>
          <cell r="ED85">
            <v>0</v>
          </cell>
          <cell r="EE85" t="str">
            <v>nd</v>
          </cell>
          <cell r="EF85">
            <v>16.623599599999999</v>
          </cell>
          <cell r="EG85">
            <v>3.6838200000000003</v>
          </cell>
          <cell r="EH85" t="str">
            <v>nd</v>
          </cell>
          <cell r="EI85">
            <v>3.9346399999999995</v>
          </cell>
          <cell r="EJ85" t="str">
            <v>nd</v>
          </cell>
          <cell r="EK85">
            <v>3.86511</v>
          </cell>
          <cell r="EL85">
            <v>29.7921738</v>
          </cell>
          <cell r="EM85">
            <v>6.1157700000000004</v>
          </cell>
          <cell r="EN85" t="str">
            <v>nd</v>
          </cell>
          <cell r="EO85">
            <v>2.9256700000000002</v>
          </cell>
          <cell r="EP85" t="str">
            <v>nd</v>
          </cell>
          <cell r="EQ85">
            <v>11.721421599999999</v>
          </cell>
          <cell r="ER85">
            <v>4.4250699999999998</v>
          </cell>
          <cell r="ES85">
            <v>3.2332999999999998</v>
          </cell>
          <cell r="ET85" t="str">
            <v>nd</v>
          </cell>
          <cell r="EU85">
            <v>0</v>
          </cell>
          <cell r="EV85">
            <v>0</v>
          </cell>
          <cell r="EW85" t="str">
            <v>nd</v>
          </cell>
          <cell r="EX85">
            <v>0</v>
          </cell>
          <cell r="EY85">
            <v>0</v>
          </cell>
          <cell r="EZ85">
            <v>0</v>
          </cell>
          <cell r="FA85">
            <v>0</v>
          </cell>
          <cell r="FB85">
            <v>0</v>
          </cell>
          <cell r="FC85">
            <v>0</v>
          </cell>
          <cell r="FD85">
            <v>0</v>
          </cell>
          <cell r="FE85" t="str">
            <v>nd</v>
          </cell>
          <cell r="FF85" t="str">
            <v>nd</v>
          </cell>
          <cell r="FG85" t="str">
            <v>nd</v>
          </cell>
          <cell r="FH85" t="str">
            <v>nd</v>
          </cell>
          <cell r="FI85" t="str">
            <v>nd</v>
          </cell>
          <cell r="FJ85">
            <v>4.4076599999999999</v>
          </cell>
          <cell r="FK85" t="str">
            <v>nd</v>
          </cell>
          <cell r="FL85">
            <v>4.9468300000000003</v>
          </cell>
          <cell r="FM85">
            <v>6.4557269999999995</v>
          </cell>
          <cell r="FN85">
            <v>8.9747926000000007</v>
          </cell>
          <cell r="FO85">
            <v>3.3180200000000002</v>
          </cell>
          <cell r="FP85">
            <v>5.4515599999999997</v>
          </cell>
          <cell r="FQ85">
            <v>4.0152900000000002</v>
          </cell>
          <cell r="FR85">
            <v>3.5620100000000003</v>
          </cell>
          <cell r="FS85">
            <v>13.6963197</v>
          </cell>
          <cell r="FT85">
            <v>24.976620699999998</v>
          </cell>
          <cell r="FU85">
            <v>0</v>
          </cell>
          <cell r="FV85">
            <v>0</v>
          </cell>
          <cell r="FW85" t="str">
            <v>nd</v>
          </cell>
          <cell r="FX85">
            <v>3.0515300000000001</v>
          </cell>
          <cell r="FY85" t="str">
            <v>nd</v>
          </cell>
          <cell r="FZ85">
            <v>4.7096299999999998</v>
          </cell>
          <cell r="GA85">
            <v>0</v>
          </cell>
          <cell r="GB85">
            <v>0</v>
          </cell>
          <cell r="GC85">
            <v>0</v>
          </cell>
          <cell r="GD85">
            <v>0</v>
          </cell>
          <cell r="GE85">
            <v>0</v>
          </cell>
          <cell r="GF85">
            <v>0</v>
          </cell>
          <cell r="GG85" t="str">
            <v>nd</v>
          </cell>
          <cell r="GH85">
            <v>0</v>
          </cell>
          <cell r="GI85">
            <v>0</v>
          </cell>
          <cell r="GJ85" t="str">
            <v>nd</v>
          </cell>
          <cell r="GK85" t="str">
            <v>nd</v>
          </cell>
          <cell r="GL85" t="str">
            <v>nd</v>
          </cell>
          <cell r="GM85">
            <v>0</v>
          </cell>
          <cell r="GN85" t="str">
            <v>nd</v>
          </cell>
          <cell r="GO85">
            <v>5.47668</v>
          </cell>
          <cell r="GP85">
            <v>4.9986899999999999</v>
          </cell>
          <cell r="GQ85">
            <v>17.3349704</v>
          </cell>
          <cell r="GR85">
            <v>0</v>
          </cell>
          <cell r="GS85">
            <v>0</v>
          </cell>
          <cell r="GT85">
            <v>0</v>
          </cell>
          <cell r="GU85">
            <v>0</v>
          </cell>
          <cell r="GV85">
            <v>6.2308900000000005</v>
          </cell>
          <cell r="GW85">
            <v>47.050445099999997</v>
          </cell>
          <cell r="GX85">
            <v>0</v>
          </cell>
          <cell r="GY85">
            <v>0</v>
          </cell>
          <cell r="GZ85">
            <v>0</v>
          </cell>
          <cell r="HA85">
            <v>0</v>
          </cell>
          <cell r="HB85" t="str">
            <v>nd</v>
          </cell>
          <cell r="HC85">
            <v>10.601884500000001</v>
          </cell>
          <cell r="HD85">
            <v>0</v>
          </cell>
          <cell r="HE85">
            <v>0</v>
          </cell>
          <cell r="HF85">
            <v>0</v>
          </cell>
          <cell r="HG85">
            <v>0</v>
          </cell>
          <cell r="HH85">
            <v>0</v>
          </cell>
          <cell r="HI85">
            <v>0</v>
          </cell>
          <cell r="HJ85">
            <v>0</v>
          </cell>
          <cell r="HK85">
            <v>0</v>
          </cell>
          <cell r="HL85">
            <v>0</v>
          </cell>
          <cell r="HM85" t="str">
            <v>nd</v>
          </cell>
          <cell r="HN85" t="str">
            <v>nd</v>
          </cell>
          <cell r="HO85">
            <v>0</v>
          </cell>
          <cell r="HP85">
            <v>0</v>
          </cell>
          <cell r="HQ85">
            <v>0</v>
          </cell>
          <cell r="HR85" t="str">
            <v>nd</v>
          </cell>
          <cell r="HS85">
            <v>9.0517649000000002</v>
          </cell>
          <cell r="HT85">
            <v>21.1309115</v>
          </cell>
          <cell r="HU85">
            <v>0</v>
          </cell>
          <cell r="HV85">
            <v>0</v>
          </cell>
          <cell r="HW85">
            <v>0</v>
          </cell>
          <cell r="HX85" t="str">
            <v>nd</v>
          </cell>
          <cell r="HY85">
            <v>11.681460000000001</v>
          </cell>
          <cell r="HZ85">
            <v>42.2567564</v>
          </cell>
          <cell r="IA85">
            <v>0</v>
          </cell>
          <cell r="IB85">
            <v>0</v>
          </cell>
          <cell r="IC85">
            <v>0</v>
          </cell>
          <cell r="ID85">
            <v>0</v>
          </cell>
          <cell r="IE85">
            <v>0</v>
          </cell>
          <cell r="IF85">
            <v>9.793743000000001</v>
          </cell>
          <cell r="IG85">
            <v>0</v>
          </cell>
          <cell r="IH85">
            <v>0</v>
          </cell>
          <cell r="II85">
            <v>0</v>
          </cell>
          <cell r="IJ85">
            <v>0</v>
          </cell>
          <cell r="IK85">
            <v>0</v>
          </cell>
          <cell r="IL85">
            <v>0</v>
          </cell>
          <cell r="IM85">
            <v>0</v>
          </cell>
          <cell r="IN85" t="str">
            <v>nd</v>
          </cell>
          <cell r="IO85">
            <v>0</v>
          </cell>
          <cell r="IP85" t="str">
            <v>nd</v>
          </cell>
          <cell r="IQ85" t="str">
            <v>nd</v>
          </cell>
          <cell r="IR85">
            <v>0</v>
          </cell>
          <cell r="IS85">
            <v>0</v>
          </cell>
          <cell r="IT85">
            <v>0</v>
          </cell>
          <cell r="IU85" t="str">
            <v>nd</v>
          </cell>
          <cell r="IV85">
            <v>9.8395414999999993</v>
          </cell>
          <cell r="IW85">
            <v>19.62576</v>
          </cell>
          <cell r="IX85">
            <v>0</v>
          </cell>
          <cell r="IY85">
            <v>0</v>
          </cell>
          <cell r="IZ85">
            <v>0</v>
          </cell>
          <cell r="JA85" t="str">
            <v>nd</v>
          </cell>
          <cell r="JB85">
            <v>14.2716356</v>
          </cell>
          <cell r="JC85">
            <v>39.578325300000003</v>
          </cell>
          <cell r="JD85">
            <v>0</v>
          </cell>
          <cell r="JE85">
            <v>0</v>
          </cell>
          <cell r="JF85">
            <v>0</v>
          </cell>
          <cell r="JG85">
            <v>0</v>
          </cell>
          <cell r="JH85">
            <v>2.7788500000000003</v>
          </cell>
          <cell r="JI85">
            <v>6.7941787000000007</v>
          </cell>
          <cell r="JJ85">
            <v>0</v>
          </cell>
          <cell r="JK85">
            <v>0</v>
          </cell>
          <cell r="JL85">
            <v>0</v>
          </cell>
          <cell r="JM85">
            <v>0</v>
          </cell>
          <cell r="JN85">
            <v>0</v>
          </cell>
          <cell r="JO85">
            <v>0</v>
          </cell>
          <cell r="JP85">
            <v>0</v>
          </cell>
          <cell r="JQ85">
            <v>0</v>
          </cell>
          <cell r="JR85">
            <v>0</v>
          </cell>
          <cell r="JS85">
            <v>0</v>
          </cell>
          <cell r="JT85">
            <v>3.2668700000000004</v>
          </cell>
          <cell r="JU85">
            <v>0</v>
          </cell>
          <cell r="JV85">
            <v>0</v>
          </cell>
          <cell r="JW85">
            <v>0</v>
          </cell>
          <cell r="JX85">
            <v>0</v>
          </cell>
          <cell r="JY85">
            <v>0</v>
          </cell>
          <cell r="JZ85">
            <v>30.9723784</v>
          </cell>
          <cell r="KA85">
            <v>0</v>
          </cell>
          <cell r="KB85">
            <v>0</v>
          </cell>
          <cell r="KC85">
            <v>0</v>
          </cell>
          <cell r="KD85">
            <v>0</v>
          </cell>
          <cell r="KE85">
            <v>0</v>
          </cell>
          <cell r="KF85">
            <v>55.294820300000005</v>
          </cell>
          <cell r="KG85">
            <v>0</v>
          </cell>
          <cell r="KH85">
            <v>0</v>
          </cell>
          <cell r="KI85">
            <v>0</v>
          </cell>
          <cell r="KJ85">
            <v>0</v>
          </cell>
          <cell r="KK85" t="str">
            <v>nd</v>
          </cell>
          <cell r="KL85">
            <v>9.3358925999999993</v>
          </cell>
          <cell r="KM85">
            <v>64.900000000000006</v>
          </cell>
          <cell r="KN85">
            <v>23.3</v>
          </cell>
          <cell r="KO85">
            <v>6.2</v>
          </cell>
          <cell r="KP85">
            <v>2.1999999999999997</v>
          </cell>
          <cell r="KQ85">
            <v>3.3000000000000003</v>
          </cell>
          <cell r="KR85">
            <v>0.1</v>
          </cell>
          <cell r="KS85">
            <v>64.3</v>
          </cell>
          <cell r="KT85">
            <v>23.599999999999998</v>
          </cell>
          <cell r="KU85">
            <v>6.3</v>
          </cell>
          <cell r="KV85">
            <v>2.2999999999999998</v>
          </cell>
          <cell r="KW85">
            <v>3.4000000000000004</v>
          </cell>
          <cell r="KX85">
            <v>0.1</v>
          </cell>
          <cell r="KY85"/>
          <cell r="KZ85"/>
          <cell r="LA85"/>
          <cell r="LB85"/>
          <cell r="LC85"/>
          <cell r="LD85"/>
          <cell r="LE85"/>
          <cell r="LF85"/>
          <cell r="LG85"/>
          <cell r="LH85"/>
          <cell r="LI85"/>
          <cell r="LJ85"/>
          <cell r="LK85"/>
          <cell r="LL85"/>
          <cell r="LM85"/>
          <cell r="LN85"/>
          <cell r="LO85"/>
        </row>
        <row r="86">
          <cell r="A86" t="str">
            <v>2KZ</v>
          </cell>
          <cell r="B86" t="str">
            <v>86</v>
          </cell>
          <cell r="C86" t="str">
            <v>NAF 17</v>
          </cell>
          <cell r="D86" t="str">
            <v>KZ</v>
          </cell>
          <cell r="E86" t="str">
            <v>2</v>
          </cell>
          <cell r="F86">
            <v>0</v>
          </cell>
          <cell r="G86">
            <v>7.5</v>
          </cell>
          <cell r="H86">
            <v>29.799999999999997</v>
          </cell>
          <cell r="I86">
            <v>55.000000000000007</v>
          </cell>
          <cell r="J86">
            <v>7.6</v>
          </cell>
          <cell r="K86">
            <v>83.1</v>
          </cell>
          <cell r="L86" t="str">
            <v>nd</v>
          </cell>
          <cell r="M86" t="str">
            <v>nd</v>
          </cell>
          <cell r="N86" t="str">
            <v>nd</v>
          </cell>
          <cell r="O86">
            <v>19</v>
          </cell>
          <cell r="P86">
            <v>34.1</v>
          </cell>
          <cell r="Q86">
            <v>7.8</v>
          </cell>
          <cell r="R86">
            <v>5.4</v>
          </cell>
          <cell r="S86">
            <v>7.6</v>
          </cell>
          <cell r="T86">
            <v>41.199999999999996</v>
          </cell>
          <cell r="U86">
            <v>5.8000000000000007</v>
          </cell>
          <cell r="V86">
            <v>30.099999999999998</v>
          </cell>
          <cell r="W86">
            <v>3.8</v>
          </cell>
          <cell r="X86">
            <v>92.7</v>
          </cell>
          <cell r="Y86">
            <v>3.5999999999999996</v>
          </cell>
          <cell r="Z86">
            <v>0</v>
          </cell>
          <cell r="AA86" t="str">
            <v>nd</v>
          </cell>
          <cell r="AB86" t="str">
            <v>nd</v>
          </cell>
          <cell r="AC86" t="str">
            <v>nd</v>
          </cell>
          <cell r="AD86" t="str">
            <v>nd</v>
          </cell>
          <cell r="AE86">
            <v>47.699999999999996</v>
          </cell>
          <cell r="AF86">
            <v>52.300000000000004</v>
          </cell>
          <cell r="AG86">
            <v>46.300000000000004</v>
          </cell>
          <cell r="AH86">
            <v>53.7</v>
          </cell>
          <cell r="AI86">
            <v>49.9</v>
          </cell>
          <cell r="AJ86" t="str">
            <v>nd</v>
          </cell>
          <cell r="AK86" t="str">
            <v>nd</v>
          </cell>
          <cell r="AL86">
            <v>35.9</v>
          </cell>
          <cell r="AM86">
            <v>9.6</v>
          </cell>
          <cell r="AN86">
            <v>14.6</v>
          </cell>
          <cell r="AO86" t="str">
            <v>nd</v>
          </cell>
          <cell r="AP86" t="str">
            <v>nd</v>
          </cell>
          <cell r="AQ86">
            <v>72.8</v>
          </cell>
          <cell r="AR86" t="str">
            <v>nd</v>
          </cell>
          <cell r="AS86">
            <v>50.2</v>
          </cell>
          <cell r="AT86">
            <v>18.899999999999999</v>
          </cell>
          <cell r="AU86">
            <v>8.6</v>
          </cell>
          <cell r="AV86">
            <v>5.7</v>
          </cell>
          <cell r="AW86">
            <v>5.8999999999999995</v>
          </cell>
          <cell r="AX86">
            <v>10.6</v>
          </cell>
          <cell r="AY86">
            <v>12.4</v>
          </cell>
          <cell r="AZ86">
            <v>14.000000000000002</v>
          </cell>
          <cell r="BA86">
            <v>11.4</v>
          </cell>
          <cell r="BB86">
            <v>21.4</v>
          </cell>
          <cell r="BC86">
            <v>28.000000000000004</v>
          </cell>
          <cell r="BD86">
            <v>12.9</v>
          </cell>
          <cell r="BE86">
            <v>0</v>
          </cell>
          <cell r="BF86" t="str">
            <v>nd</v>
          </cell>
          <cell r="BG86" t="str">
            <v>nd</v>
          </cell>
          <cell r="BH86" t="str">
            <v>nd</v>
          </cell>
          <cell r="BI86">
            <v>20.7</v>
          </cell>
          <cell r="BJ86">
            <v>75.8</v>
          </cell>
          <cell r="BK86">
            <v>0</v>
          </cell>
          <cell r="BL86">
            <v>0</v>
          </cell>
          <cell r="BM86">
            <v>0</v>
          </cell>
          <cell r="BN86" t="str">
            <v>nd</v>
          </cell>
          <cell r="BO86">
            <v>38.1</v>
          </cell>
          <cell r="BP86">
            <v>60.4</v>
          </cell>
          <cell r="BQ86">
            <v>0</v>
          </cell>
          <cell r="BR86">
            <v>0</v>
          </cell>
          <cell r="BS86" t="str">
            <v>nd</v>
          </cell>
          <cell r="BT86">
            <v>10.299999999999999</v>
          </cell>
          <cell r="BU86">
            <v>48.8</v>
          </cell>
          <cell r="BV86">
            <v>40.400000000000006</v>
          </cell>
          <cell r="BW86">
            <v>0</v>
          </cell>
          <cell r="BX86">
            <v>0</v>
          </cell>
          <cell r="BY86">
            <v>0</v>
          </cell>
          <cell r="BZ86">
            <v>0</v>
          </cell>
          <cell r="CA86">
            <v>0</v>
          </cell>
          <cell r="CB86">
            <v>100</v>
          </cell>
          <cell r="CC86">
            <v>15.4</v>
          </cell>
          <cell r="CD86">
            <v>9.6</v>
          </cell>
          <cell r="CE86">
            <v>0</v>
          </cell>
          <cell r="CF86" t="str">
            <v>nd</v>
          </cell>
          <cell r="CG86">
            <v>0</v>
          </cell>
          <cell r="CH86">
            <v>13.700000000000001</v>
          </cell>
          <cell r="CI86">
            <v>3.5000000000000004</v>
          </cell>
          <cell r="CJ86">
            <v>69.099999999999994</v>
          </cell>
          <cell r="CK86">
            <v>31.2</v>
          </cell>
          <cell r="CL86" t="str">
            <v>nd</v>
          </cell>
          <cell r="CM86">
            <v>0</v>
          </cell>
          <cell r="CN86">
            <v>0</v>
          </cell>
          <cell r="CO86">
            <v>65.400000000000006</v>
          </cell>
          <cell r="CP86">
            <v>40.6</v>
          </cell>
          <cell r="CQ86">
            <v>19.5</v>
          </cell>
          <cell r="CR86">
            <v>8.6999999999999993</v>
          </cell>
          <cell r="CS86">
            <v>31.2</v>
          </cell>
          <cell r="CT86">
            <v>9.8000000000000007</v>
          </cell>
          <cell r="CU86">
            <v>90.2</v>
          </cell>
          <cell r="CV86">
            <v>13.100000000000001</v>
          </cell>
          <cell r="CW86">
            <v>86.9</v>
          </cell>
          <cell r="CX86">
            <v>16.600000000000001</v>
          </cell>
          <cell r="CY86">
            <v>27</v>
          </cell>
          <cell r="CZ86">
            <v>56.399999999999991</v>
          </cell>
          <cell r="DA86">
            <v>39.1</v>
          </cell>
          <cell r="DB86">
            <v>0</v>
          </cell>
          <cell r="DC86">
            <v>0</v>
          </cell>
          <cell r="DD86">
            <v>0</v>
          </cell>
          <cell r="DE86">
            <v>68.100000000000009</v>
          </cell>
          <cell r="DF86">
            <v>32.700000000000003</v>
          </cell>
          <cell r="DG86">
            <v>6.3</v>
          </cell>
          <cell r="DH86">
            <v>12.1</v>
          </cell>
          <cell r="DI86">
            <v>12.9</v>
          </cell>
          <cell r="DJ86">
            <v>13.600000000000001</v>
          </cell>
          <cell r="DK86">
            <v>22.5</v>
          </cell>
          <cell r="DL86">
            <v>27</v>
          </cell>
          <cell r="DM86">
            <v>37.200000000000003</v>
          </cell>
          <cell r="DN86">
            <v>8</v>
          </cell>
          <cell r="DO86">
            <v>11</v>
          </cell>
          <cell r="DP86">
            <v>8.2000000000000011</v>
          </cell>
          <cell r="DQ86" t="str">
            <v>nd</v>
          </cell>
          <cell r="DR86">
            <v>2.1</v>
          </cell>
          <cell r="DS86">
            <v>15.8</v>
          </cell>
          <cell r="DT86">
            <v>21.3</v>
          </cell>
          <cell r="DU86">
            <v>0</v>
          </cell>
          <cell r="DV86">
            <v>0</v>
          </cell>
          <cell r="DW86">
            <v>0</v>
          </cell>
          <cell r="DX86">
            <v>0</v>
          </cell>
          <cell r="DY86">
            <v>0</v>
          </cell>
          <cell r="DZ86" t="str">
            <v>nd</v>
          </cell>
          <cell r="EA86">
            <v>4.2006500000000004</v>
          </cell>
          <cell r="EB86" t="str">
            <v>nd</v>
          </cell>
          <cell r="EC86">
            <v>0</v>
          </cell>
          <cell r="ED86" t="str">
            <v>nd</v>
          </cell>
          <cell r="EE86">
            <v>0</v>
          </cell>
          <cell r="EF86">
            <v>13.329352099999999</v>
          </cell>
          <cell r="EG86">
            <v>2.92686</v>
          </cell>
          <cell r="EH86">
            <v>5.9244199999999996</v>
          </cell>
          <cell r="EI86">
            <v>4.8295900000000005</v>
          </cell>
          <cell r="EJ86">
            <v>0</v>
          </cell>
          <cell r="EK86" t="str">
            <v>nd</v>
          </cell>
          <cell r="EL86">
            <v>27.982384</v>
          </cell>
          <cell r="EM86">
            <v>11.877326400000001</v>
          </cell>
          <cell r="EN86" t="str">
            <v>nd</v>
          </cell>
          <cell r="EO86" t="str">
            <v>nd</v>
          </cell>
          <cell r="EP86" t="str">
            <v>nd</v>
          </cell>
          <cell r="EQ86">
            <v>7.6996536000000004</v>
          </cell>
          <cell r="ER86">
            <v>7.4604878000000001</v>
          </cell>
          <cell r="ES86">
            <v>0</v>
          </cell>
          <cell r="ET86">
            <v>0</v>
          </cell>
          <cell r="EU86">
            <v>0</v>
          </cell>
          <cell r="EV86" t="str">
            <v>nd</v>
          </cell>
          <cell r="EW86">
            <v>0</v>
          </cell>
          <cell r="EX86">
            <v>0</v>
          </cell>
          <cell r="EY86">
            <v>0</v>
          </cell>
          <cell r="EZ86">
            <v>0</v>
          </cell>
          <cell r="FA86">
            <v>0</v>
          </cell>
          <cell r="FB86">
            <v>0</v>
          </cell>
          <cell r="FC86" t="str">
            <v>nd</v>
          </cell>
          <cell r="FD86">
            <v>3.4679300000000004</v>
          </cell>
          <cell r="FE86">
            <v>0</v>
          </cell>
          <cell r="FF86" t="str">
            <v>nd</v>
          </cell>
          <cell r="FG86">
            <v>0</v>
          </cell>
          <cell r="FH86" t="str">
            <v>nd</v>
          </cell>
          <cell r="FI86" t="str">
            <v>nd</v>
          </cell>
          <cell r="FJ86">
            <v>3.94319</v>
          </cell>
          <cell r="FK86">
            <v>8.3529589000000009</v>
          </cell>
          <cell r="FL86">
            <v>6.22302</v>
          </cell>
          <cell r="FM86">
            <v>9.1922929999999994</v>
          </cell>
          <cell r="FN86" t="str">
            <v>nd</v>
          </cell>
          <cell r="FO86">
            <v>9.0049969000000001</v>
          </cell>
          <cell r="FP86">
            <v>6.6050621000000005</v>
          </cell>
          <cell r="FQ86">
            <v>2.95905</v>
          </cell>
          <cell r="FR86">
            <v>12.5637308</v>
          </cell>
          <cell r="FS86">
            <v>16.611552099999997</v>
          </cell>
          <cell r="FT86">
            <v>5.4392500000000004</v>
          </cell>
          <cell r="FU86" t="str">
            <v>nd</v>
          </cell>
          <cell r="FV86">
            <v>0</v>
          </cell>
          <cell r="FW86">
            <v>0</v>
          </cell>
          <cell r="FX86">
            <v>0</v>
          </cell>
          <cell r="FY86" t="str">
            <v>nd</v>
          </cell>
          <cell r="FZ86">
            <v>4.7897500000000006</v>
          </cell>
          <cell r="GA86">
            <v>0</v>
          </cell>
          <cell r="GB86">
            <v>0</v>
          </cell>
          <cell r="GC86">
            <v>0</v>
          </cell>
          <cell r="GD86">
            <v>0</v>
          </cell>
          <cell r="GE86">
            <v>0</v>
          </cell>
          <cell r="GF86">
            <v>0</v>
          </cell>
          <cell r="GG86" t="str">
            <v>nd</v>
          </cell>
          <cell r="GH86" t="str">
            <v>nd</v>
          </cell>
          <cell r="GI86">
            <v>0</v>
          </cell>
          <cell r="GJ86" t="str">
            <v>nd</v>
          </cell>
          <cell r="GK86">
            <v>6.0945399999999994</v>
          </cell>
          <cell r="GL86">
            <v>0</v>
          </cell>
          <cell r="GM86">
            <v>0</v>
          </cell>
          <cell r="GN86">
            <v>0</v>
          </cell>
          <cell r="GO86" t="str">
            <v>nd</v>
          </cell>
          <cell r="GP86">
            <v>10.1055537</v>
          </cell>
          <cell r="GQ86">
            <v>19.530443899999998</v>
          </cell>
          <cell r="GR86">
            <v>0</v>
          </cell>
          <cell r="GS86">
            <v>0</v>
          </cell>
          <cell r="GT86" t="str">
            <v>nd</v>
          </cell>
          <cell r="GU86">
            <v>0</v>
          </cell>
          <cell r="GV86">
            <v>7.5107113000000005</v>
          </cell>
          <cell r="GW86">
            <v>45.579191399999999</v>
          </cell>
          <cell r="GX86">
            <v>0</v>
          </cell>
          <cell r="GY86">
            <v>0</v>
          </cell>
          <cell r="GZ86">
            <v>0</v>
          </cell>
          <cell r="HA86">
            <v>0</v>
          </cell>
          <cell r="HB86" t="str">
            <v>nd</v>
          </cell>
          <cell r="HC86">
            <v>4.5303800000000001</v>
          </cell>
          <cell r="HD86">
            <v>0</v>
          </cell>
          <cell r="HE86">
            <v>0</v>
          </cell>
          <cell r="HF86">
            <v>0</v>
          </cell>
          <cell r="HG86">
            <v>0</v>
          </cell>
          <cell r="HH86">
            <v>0</v>
          </cell>
          <cell r="HI86">
            <v>0</v>
          </cell>
          <cell r="HJ86">
            <v>0</v>
          </cell>
          <cell r="HK86">
            <v>0</v>
          </cell>
          <cell r="HL86">
            <v>0</v>
          </cell>
          <cell r="HM86">
            <v>5.3799899999999994</v>
          </cell>
          <cell r="HN86" t="str">
            <v>nd</v>
          </cell>
          <cell r="HO86">
            <v>0</v>
          </cell>
          <cell r="HP86">
            <v>0</v>
          </cell>
          <cell r="HQ86">
            <v>0</v>
          </cell>
          <cell r="HR86">
            <v>0</v>
          </cell>
          <cell r="HS86">
            <v>17.976239700000001</v>
          </cell>
          <cell r="HT86">
            <v>11.783063800000001</v>
          </cell>
          <cell r="HU86">
            <v>0</v>
          </cell>
          <cell r="HV86">
            <v>0</v>
          </cell>
          <cell r="HW86">
            <v>0</v>
          </cell>
          <cell r="HX86">
            <v>0</v>
          </cell>
          <cell r="HY86">
            <v>14.769873</v>
          </cell>
          <cell r="HZ86">
            <v>40.751884100000005</v>
          </cell>
          <cell r="IA86">
            <v>0</v>
          </cell>
          <cell r="IB86">
            <v>0</v>
          </cell>
          <cell r="IC86">
            <v>0</v>
          </cell>
          <cell r="ID86" t="str">
            <v>nd</v>
          </cell>
          <cell r="IE86">
            <v>0</v>
          </cell>
          <cell r="IF86">
            <v>5.6728199999999998</v>
          </cell>
          <cell r="IG86">
            <v>0</v>
          </cell>
          <cell r="IH86">
            <v>0</v>
          </cell>
          <cell r="II86">
            <v>0</v>
          </cell>
          <cell r="IJ86">
            <v>0</v>
          </cell>
          <cell r="IK86">
            <v>0</v>
          </cell>
          <cell r="IL86">
            <v>0</v>
          </cell>
          <cell r="IM86">
            <v>0</v>
          </cell>
          <cell r="IN86">
            <v>0</v>
          </cell>
          <cell r="IO86">
            <v>0</v>
          </cell>
          <cell r="IP86">
            <v>5.11782</v>
          </cell>
          <cell r="IQ86" t="str">
            <v>nd</v>
          </cell>
          <cell r="IR86">
            <v>0</v>
          </cell>
          <cell r="IS86">
            <v>0</v>
          </cell>
          <cell r="IT86" t="str">
            <v>nd</v>
          </cell>
          <cell r="IU86">
            <v>5.6443899999999996</v>
          </cell>
          <cell r="IV86">
            <v>11.1525566</v>
          </cell>
          <cell r="IW86">
            <v>14.128231899999999</v>
          </cell>
          <cell r="IX86">
            <v>0</v>
          </cell>
          <cell r="IY86">
            <v>0</v>
          </cell>
          <cell r="IZ86">
            <v>0</v>
          </cell>
          <cell r="JA86" t="str">
            <v>nd</v>
          </cell>
          <cell r="JB86">
            <v>28.626433600000002</v>
          </cell>
          <cell r="JC86">
            <v>22.116230399999999</v>
          </cell>
          <cell r="JD86">
            <v>0</v>
          </cell>
          <cell r="JE86">
            <v>0</v>
          </cell>
          <cell r="JF86">
            <v>0</v>
          </cell>
          <cell r="JG86">
            <v>2.8106100000000001</v>
          </cell>
          <cell r="JH86">
            <v>3.8449299999999997</v>
          </cell>
          <cell r="JI86" t="str">
            <v>nd</v>
          </cell>
          <cell r="JJ86">
            <v>0</v>
          </cell>
          <cell r="JK86">
            <v>0</v>
          </cell>
          <cell r="JL86">
            <v>0</v>
          </cell>
          <cell r="JM86">
            <v>0</v>
          </cell>
          <cell r="JN86">
            <v>0</v>
          </cell>
          <cell r="JO86">
            <v>0</v>
          </cell>
          <cell r="JP86">
            <v>0</v>
          </cell>
          <cell r="JQ86">
            <v>0</v>
          </cell>
          <cell r="JR86">
            <v>0</v>
          </cell>
          <cell r="JS86">
            <v>0</v>
          </cell>
          <cell r="JT86">
            <v>7.8161584000000008</v>
          </cell>
          <cell r="JU86">
            <v>0</v>
          </cell>
          <cell r="JV86">
            <v>0</v>
          </cell>
          <cell r="JW86">
            <v>0</v>
          </cell>
          <cell r="JX86">
            <v>0</v>
          </cell>
          <cell r="JY86">
            <v>0</v>
          </cell>
          <cell r="JZ86">
            <v>30.690979600000002</v>
          </cell>
          <cell r="KA86">
            <v>0</v>
          </cell>
          <cell r="KB86">
            <v>0</v>
          </cell>
          <cell r="KC86">
            <v>0</v>
          </cell>
          <cell r="KD86">
            <v>0</v>
          </cell>
          <cell r="KE86">
            <v>0</v>
          </cell>
          <cell r="KF86">
            <v>54.339493400000002</v>
          </cell>
          <cell r="KG86">
            <v>0</v>
          </cell>
          <cell r="KH86">
            <v>0</v>
          </cell>
          <cell r="KI86">
            <v>0</v>
          </cell>
          <cell r="KJ86">
            <v>0</v>
          </cell>
          <cell r="KK86">
            <v>0</v>
          </cell>
          <cell r="KL86">
            <v>7.1533686000000003</v>
          </cell>
          <cell r="KM86">
            <v>58.8</v>
          </cell>
          <cell r="KN86">
            <v>31.7</v>
          </cell>
          <cell r="KO86">
            <v>2.6</v>
          </cell>
          <cell r="KP86">
            <v>2.2999999999999998</v>
          </cell>
          <cell r="KQ86">
            <v>4.5999999999999996</v>
          </cell>
          <cell r="KR86">
            <v>0</v>
          </cell>
          <cell r="KS86">
            <v>57.199999999999996</v>
          </cell>
          <cell r="KT86">
            <v>32.300000000000004</v>
          </cell>
          <cell r="KU86">
            <v>2.6</v>
          </cell>
          <cell r="KV86">
            <v>2.5</v>
          </cell>
          <cell r="KW86">
            <v>5.4</v>
          </cell>
          <cell r="KX86">
            <v>0</v>
          </cell>
          <cell r="KY86"/>
          <cell r="KZ86"/>
          <cell r="LA86"/>
          <cell r="LB86"/>
          <cell r="LC86"/>
          <cell r="LD86"/>
          <cell r="LE86"/>
          <cell r="LF86"/>
          <cell r="LG86"/>
          <cell r="LH86"/>
          <cell r="LI86"/>
          <cell r="LJ86"/>
          <cell r="LK86"/>
          <cell r="LL86"/>
          <cell r="LM86"/>
          <cell r="LN86"/>
          <cell r="LO86"/>
        </row>
        <row r="87">
          <cell r="A87" t="str">
            <v>3KZ</v>
          </cell>
          <cell r="B87" t="str">
            <v>87</v>
          </cell>
          <cell r="C87" t="str">
            <v>NAF 17</v>
          </cell>
          <cell r="D87" t="str">
            <v>KZ</v>
          </cell>
          <cell r="E87" t="str">
            <v>3</v>
          </cell>
          <cell r="F87">
            <v>0</v>
          </cell>
          <cell r="G87" t="str">
            <v>nd</v>
          </cell>
          <cell r="H87">
            <v>24.3</v>
          </cell>
          <cell r="I87">
            <v>55.2</v>
          </cell>
          <cell r="J87">
            <v>16.5</v>
          </cell>
          <cell r="K87">
            <v>56.999999999999993</v>
          </cell>
          <cell r="L87" t="str">
            <v>nd</v>
          </cell>
          <cell r="M87" t="str">
            <v>nd</v>
          </cell>
          <cell r="N87" t="str">
            <v>nd</v>
          </cell>
          <cell r="O87">
            <v>13</v>
          </cell>
          <cell r="P87">
            <v>33</v>
          </cell>
          <cell r="Q87">
            <v>5</v>
          </cell>
          <cell r="R87">
            <v>10.299999999999999</v>
          </cell>
          <cell r="S87">
            <v>9.6</v>
          </cell>
          <cell r="T87">
            <v>18.600000000000001</v>
          </cell>
          <cell r="U87" t="str">
            <v>nd</v>
          </cell>
          <cell r="V87">
            <v>41.099999999999994</v>
          </cell>
          <cell r="W87" t="str">
            <v>nd</v>
          </cell>
          <cell r="X87">
            <v>85.399999999999991</v>
          </cell>
          <cell r="Y87">
            <v>11.3</v>
          </cell>
          <cell r="Z87">
            <v>0</v>
          </cell>
          <cell r="AA87" t="str">
            <v>nd</v>
          </cell>
          <cell r="AB87">
            <v>0</v>
          </cell>
          <cell r="AC87">
            <v>0</v>
          </cell>
          <cell r="AD87">
            <v>0</v>
          </cell>
          <cell r="AE87">
            <v>26.400000000000002</v>
          </cell>
          <cell r="AF87">
            <v>73.599999999999994</v>
          </cell>
          <cell r="AG87">
            <v>64.3</v>
          </cell>
          <cell r="AH87">
            <v>35.699999999999996</v>
          </cell>
          <cell r="AI87">
            <v>45.7</v>
          </cell>
          <cell r="AJ87">
            <v>0</v>
          </cell>
          <cell r="AK87">
            <v>0</v>
          </cell>
          <cell r="AL87">
            <v>46.1</v>
          </cell>
          <cell r="AM87" t="str">
            <v>nd</v>
          </cell>
          <cell r="AN87" t="str">
            <v>nd</v>
          </cell>
          <cell r="AO87">
            <v>0</v>
          </cell>
          <cell r="AP87">
            <v>0</v>
          </cell>
          <cell r="AQ87">
            <v>75.2</v>
          </cell>
          <cell r="AR87">
            <v>19.100000000000001</v>
          </cell>
          <cell r="AS87">
            <v>24.8</v>
          </cell>
          <cell r="AT87">
            <v>22.2</v>
          </cell>
          <cell r="AU87">
            <v>22.900000000000002</v>
          </cell>
          <cell r="AV87">
            <v>15</v>
          </cell>
          <cell r="AW87">
            <v>10.5</v>
          </cell>
          <cell r="AX87" t="str">
            <v>nd</v>
          </cell>
          <cell r="AY87">
            <v>21.8</v>
          </cell>
          <cell r="AZ87">
            <v>30.5</v>
          </cell>
          <cell r="BA87">
            <v>17.599999999999998</v>
          </cell>
          <cell r="BB87">
            <v>12.4</v>
          </cell>
          <cell r="BC87">
            <v>9</v>
          </cell>
          <cell r="BD87">
            <v>8.7999999999999989</v>
          </cell>
          <cell r="BE87">
            <v>0</v>
          </cell>
          <cell r="BF87">
            <v>0</v>
          </cell>
          <cell r="BG87">
            <v>0</v>
          </cell>
          <cell r="BH87" t="str">
            <v>nd</v>
          </cell>
          <cell r="BI87">
            <v>18.5</v>
          </cell>
          <cell r="BJ87">
            <v>78.100000000000009</v>
          </cell>
          <cell r="BK87">
            <v>0</v>
          </cell>
          <cell r="BL87">
            <v>0</v>
          </cell>
          <cell r="BM87">
            <v>0</v>
          </cell>
          <cell r="BN87" t="str">
            <v>nd</v>
          </cell>
          <cell r="BO87">
            <v>65.3</v>
          </cell>
          <cell r="BP87">
            <v>31.6</v>
          </cell>
          <cell r="BQ87">
            <v>0</v>
          </cell>
          <cell r="BR87">
            <v>0</v>
          </cell>
          <cell r="BS87" t="str">
            <v>nd</v>
          </cell>
          <cell r="BT87">
            <v>15.7</v>
          </cell>
          <cell r="BU87">
            <v>71.3</v>
          </cell>
          <cell r="BV87">
            <v>12.2</v>
          </cell>
          <cell r="BW87">
            <v>0</v>
          </cell>
          <cell r="BX87">
            <v>0</v>
          </cell>
          <cell r="BY87">
            <v>0</v>
          </cell>
          <cell r="BZ87">
            <v>0</v>
          </cell>
          <cell r="CA87" t="str">
            <v>nd</v>
          </cell>
          <cell r="CB87">
            <v>97.8</v>
          </cell>
          <cell r="CC87">
            <v>7.1999999999999993</v>
          </cell>
          <cell r="CD87">
            <v>14.399999999999999</v>
          </cell>
          <cell r="CE87">
            <v>0</v>
          </cell>
          <cell r="CF87">
            <v>0</v>
          </cell>
          <cell r="CG87">
            <v>0</v>
          </cell>
          <cell r="CH87">
            <v>5.8999999999999995</v>
          </cell>
          <cell r="CI87">
            <v>6.2</v>
          </cell>
          <cell r="CJ87">
            <v>72.7</v>
          </cell>
          <cell r="CK87">
            <v>24.8</v>
          </cell>
          <cell r="CL87" t="str">
            <v>nd</v>
          </cell>
          <cell r="CM87" t="str">
            <v>nd</v>
          </cell>
          <cell r="CN87" t="str">
            <v>nd</v>
          </cell>
          <cell r="CO87">
            <v>75.900000000000006</v>
          </cell>
          <cell r="CP87">
            <v>35.799999999999997</v>
          </cell>
          <cell r="CQ87">
            <v>23.5</v>
          </cell>
          <cell r="CR87">
            <v>9.1999999999999993</v>
          </cell>
          <cell r="CS87">
            <v>31.5</v>
          </cell>
          <cell r="CT87">
            <v>8.6</v>
          </cell>
          <cell r="CU87">
            <v>91.4</v>
          </cell>
          <cell r="CV87">
            <v>14.799999999999999</v>
          </cell>
          <cell r="CW87">
            <v>85.2</v>
          </cell>
          <cell r="CX87">
            <v>24.7</v>
          </cell>
          <cell r="CY87">
            <v>13.4</v>
          </cell>
          <cell r="CZ87">
            <v>61.9</v>
          </cell>
          <cell r="DA87">
            <v>36.9</v>
          </cell>
          <cell r="DB87">
            <v>0</v>
          </cell>
          <cell r="DC87" t="str">
            <v>nd</v>
          </cell>
          <cell r="DD87">
            <v>0</v>
          </cell>
          <cell r="DE87">
            <v>55.1</v>
          </cell>
          <cell r="DF87">
            <v>20.8</v>
          </cell>
          <cell r="DG87">
            <v>13.8</v>
          </cell>
          <cell r="DH87">
            <v>18.899999999999999</v>
          </cell>
          <cell r="DI87">
            <v>12.3</v>
          </cell>
          <cell r="DJ87">
            <v>7.6</v>
          </cell>
          <cell r="DK87">
            <v>26.6</v>
          </cell>
          <cell r="DL87">
            <v>12.8</v>
          </cell>
          <cell r="DM87">
            <v>26.700000000000003</v>
          </cell>
          <cell r="DN87">
            <v>8.6999999999999993</v>
          </cell>
          <cell r="DO87">
            <v>30.099999999999998</v>
          </cell>
          <cell r="DP87">
            <v>28.9</v>
          </cell>
          <cell r="DQ87">
            <v>4.2</v>
          </cell>
          <cell r="DR87">
            <v>0</v>
          </cell>
          <cell r="DS87">
            <v>34</v>
          </cell>
          <cell r="DT87">
            <v>22.7</v>
          </cell>
          <cell r="DU87">
            <v>0</v>
          </cell>
          <cell r="DV87">
            <v>0</v>
          </cell>
          <cell r="DW87">
            <v>0</v>
          </cell>
          <cell r="DX87">
            <v>0</v>
          </cell>
          <cell r="DY87">
            <v>0</v>
          </cell>
          <cell r="DZ87" t="str">
            <v>nd</v>
          </cell>
          <cell r="EA87">
            <v>0</v>
          </cell>
          <cell r="EB87">
            <v>0</v>
          </cell>
          <cell r="EC87" t="str">
            <v>nd</v>
          </cell>
          <cell r="ED87">
            <v>0</v>
          </cell>
          <cell r="EE87">
            <v>0</v>
          </cell>
          <cell r="EF87" t="str">
            <v>nd</v>
          </cell>
          <cell r="EG87">
            <v>12.1151287</v>
          </cell>
          <cell r="EH87" t="str">
            <v>nd</v>
          </cell>
          <cell r="EI87">
            <v>8.473097000000001</v>
          </cell>
          <cell r="EJ87" t="str">
            <v>nd</v>
          </cell>
          <cell r="EK87">
            <v>0</v>
          </cell>
          <cell r="EL87">
            <v>13.406358400000002</v>
          </cell>
          <cell r="EM87">
            <v>8.3842844000000003</v>
          </cell>
          <cell r="EN87">
            <v>15.421292000000001</v>
          </cell>
          <cell r="EO87" t="str">
            <v>nd</v>
          </cell>
          <cell r="EP87">
            <v>8.6551533999999997</v>
          </cell>
          <cell r="EQ87" t="str">
            <v>nd</v>
          </cell>
          <cell r="ER87">
            <v>7.6265804000000008</v>
          </cell>
          <cell r="ES87" t="str">
            <v>nd</v>
          </cell>
          <cell r="ET87" t="str">
            <v>nd</v>
          </cell>
          <cell r="EU87">
            <v>0</v>
          </cell>
          <cell r="EV87">
            <v>0</v>
          </cell>
          <cell r="EW87" t="str">
            <v>nd</v>
          </cell>
          <cell r="EX87">
            <v>0</v>
          </cell>
          <cell r="EY87">
            <v>0</v>
          </cell>
          <cell r="EZ87">
            <v>0</v>
          </cell>
          <cell r="FA87">
            <v>0</v>
          </cell>
          <cell r="FB87">
            <v>0</v>
          </cell>
          <cell r="FC87">
            <v>0</v>
          </cell>
          <cell r="FD87">
            <v>0</v>
          </cell>
          <cell r="FE87">
            <v>0</v>
          </cell>
          <cell r="FF87" t="str">
            <v>nd</v>
          </cell>
          <cell r="FG87">
            <v>0</v>
          </cell>
          <cell r="FH87" t="str">
            <v>nd</v>
          </cell>
          <cell r="FI87" t="str">
            <v>nd</v>
          </cell>
          <cell r="FJ87">
            <v>17.068505300000002</v>
          </cell>
          <cell r="FK87" t="str">
            <v>nd</v>
          </cell>
          <cell r="FL87" t="str">
            <v>nd</v>
          </cell>
          <cell r="FM87" t="str">
            <v>nd</v>
          </cell>
          <cell r="FN87">
            <v>0</v>
          </cell>
          <cell r="FO87">
            <v>13.950336099999999</v>
          </cell>
          <cell r="FP87">
            <v>9.465622999999999</v>
          </cell>
          <cell r="FQ87">
            <v>14.166782399999999</v>
          </cell>
          <cell r="FR87">
            <v>8.2545175999999998</v>
          </cell>
          <cell r="FS87">
            <v>6.0193200000000004</v>
          </cell>
          <cell r="FT87" t="str">
            <v>nd</v>
          </cell>
          <cell r="FU87" t="str">
            <v>nd</v>
          </cell>
          <cell r="FV87">
            <v>3.7999800000000001</v>
          </cell>
          <cell r="FW87" t="str">
            <v>nd</v>
          </cell>
          <cell r="FX87" t="str">
            <v>nd</v>
          </cell>
          <cell r="FY87" t="str">
            <v>nd</v>
          </cell>
          <cell r="FZ87" t="str">
            <v>nd</v>
          </cell>
          <cell r="GA87">
            <v>0</v>
          </cell>
          <cell r="GB87">
            <v>0</v>
          </cell>
          <cell r="GC87">
            <v>0</v>
          </cell>
          <cell r="GD87">
            <v>0</v>
          </cell>
          <cell r="GE87">
            <v>0</v>
          </cell>
          <cell r="GF87">
            <v>0</v>
          </cell>
          <cell r="GG87">
            <v>0</v>
          </cell>
          <cell r="GH87">
            <v>0</v>
          </cell>
          <cell r="GI87" t="str">
            <v>nd</v>
          </cell>
          <cell r="GJ87">
            <v>0</v>
          </cell>
          <cell r="GK87" t="str">
            <v>nd</v>
          </cell>
          <cell r="GL87">
            <v>0</v>
          </cell>
          <cell r="GM87">
            <v>0</v>
          </cell>
          <cell r="GN87">
            <v>0</v>
          </cell>
          <cell r="GO87" t="str">
            <v>nd</v>
          </cell>
          <cell r="GP87">
            <v>12.6079974</v>
          </cell>
          <cell r="GQ87">
            <v>10.2702863</v>
          </cell>
          <cell r="GR87">
            <v>0</v>
          </cell>
          <cell r="GS87">
            <v>0</v>
          </cell>
          <cell r="GT87">
            <v>0</v>
          </cell>
          <cell r="GU87">
            <v>0</v>
          </cell>
          <cell r="GV87">
            <v>3.6252399999999998</v>
          </cell>
          <cell r="GW87">
            <v>51.529198499999993</v>
          </cell>
          <cell r="GX87">
            <v>0</v>
          </cell>
          <cell r="GY87">
            <v>0</v>
          </cell>
          <cell r="GZ87">
            <v>0</v>
          </cell>
          <cell r="HA87">
            <v>0</v>
          </cell>
          <cell r="HB87" t="str">
            <v>nd</v>
          </cell>
          <cell r="HC87">
            <v>13.741179900000001</v>
          </cell>
          <cell r="HD87">
            <v>0</v>
          </cell>
          <cell r="HE87">
            <v>0</v>
          </cell>
          <cell r="HF87">
            <v>0</v>
          </cell>
          <cell r="HG87">
            <v>0</v>
          </cell>
          <cell r="HH87">
            <v>0</v>
          </cell>
          <cell r="HI87">
            <v>0</v>
          </cell>
          <cell r="HJ87">
            <v>0</v>
          </cell>
          <cell r="HK87">
            <v>0</v>
          </cell>
          <cell r="HL87">
            <v>0</v>
          </cell>
          <cell r="HM87" t="str">
            <v>nd</v>
          </cell>
          <cell r="HN87" t="str">
            <v>nd</v>
          </cell>
          <cell r="HO87">
            <v>0</v>
          </cell>
          <cell r="HP87">
            <v>0</v>
          </cell>
          <cell r="HQ87">
            <v>0</v>
          </cell>
          <cell r="HR87" t="str">
            <v>nd</v>
          </cell>
          <cell r="HS87">
            <v>14.385983399999999</v>
          </cell>
          <cell r="HT87">
            <v>12.017176000000001</v>
          </cell>
          <cell r="HU87">
            <v>0</v>
          </cell>
          <cell r="HV87">
            <v>0</v>
          </cell>
          <cell r="HW87">
            <v>0</v>
          </cell>
          <cell r="HX87">
            <v>0</v>
          </cell>
          <cell r="HY87">
            <v>37.182763200000004</v>
          </cell>
          <cell r="HZ87">
            <v>12.8244094</v>
          </cell>
          <cell r="IA87">
            <v>0</v>
          </cell>
          <cell r="IB87">
            <v>0</v>
          </cell>
          <cell r="IC87">
            <v>0</v>
          </cell>
          <cell r="ID87">
            <v>0</v>
          </cell>
          <cell r="IE87">
            <v>11.198801100000001</v>
          </cell>
          <cell r="IF87">
            <v>5.1863700000000001</v>
          </cell>
          <cell r="IG87">
            <v>0</v>
          </cell>
          <cell r="IH87">
            <v>0</v>
          </cell>
          <cell r="II87">
            <v>0</v>
          </cell>
          <cell r="IJ87">
            <v>0</v>
          </cell>
          <cell r="IK87">
            <v>0</v>
          </cell>
          <cell r="IL87">
            <v>0</v>
          </cell>
          <cell r="IM87">
            <v>0</v>
          </cell>
          <cell r="IN87">
            <v>0</v>
          </cell>
          <cell r="IO87" t="str">
            <v>nd</v>
          </cell>
          <cell r="IP87">
            <v>0</v>
          </cell>
          <cell r="IQ87" t="str">
            <v>nd</v>
          </cell>
          <cell r="IR87">
            <v>0</v>
          </cell>
          <cell r="IS87">
            <v>0</v>
          </cell>
          <cell r="IT87">
            <v>0</v>
          </cell>
          <cell r="IU87" t="str">
            <v>nd</v>
          </cell>
          <cell r="IV87">
            <v>14.440097599999998</v>
          </cell>
          <cell r="IW87" t="str">
            <v>nd</v>
          </cell>
          <cell r="IX87">
            <v>0</v>
          </cell>
          <cell r="IY87">
            <v>0</v>
          </cell>
          <cell r="IZ87">
            <v>0</v>
          </cell>
          <cell r="JA87">
            <v>6.7767384000000002</v>
          </cell>
          <cell r="JB87">
            <v>44.059939199999995</v>
          </cell>
          <cell r="JC87" t="str">
            <v>nd</v>
          </cell>
          <cell r="JD87">
            <v>0</v>
          </cell>
          <cell r="JE87">
            <v>0</v>
          </cell>
          <cell r="JF87" t="str">
            <v>nd</v>
          </cell>
          <cell r="JG87">
            <v>0</v>
          </cell>
          <cell r="JH87">
            <v>12.8270623</v>
          </cell>
          <cell r="JI87" t="str">
            <v>nd</v>
          </cell>
          <cell r="JJ87">
            <v>0</v>
          </cell>
          <cell r="JK87">
            <v>0</v>
          </cell>
          <cell r="JL87">
            <v>0</v>
          </cell>
          <cell r="JM87">
            <v>0</v>
          </cell>
          <cell r="JN87">
            <v>0</v>
          </cell>
          <cell r="JO87">
            <v>0</v>
          </cell>
          <cell r="JP87">
            <v>0</v>
          </cell>
          <cell r="JQ87">
            <v>0</v>
          </cell>
          <cell r="JR87">
            <v>0</v>
          </cell>
          <cell r="JS87">
            <v>0</v>
          </cell>
          <cell r="JT87" t="str">
            <v>nd</v>
          </cell>
          <cell r="JU87">
            <v>0</v>
          </cell>
          <cell r="JV87">
            <v>0</v>
          </cell>
          <cell r="JW87">
            <v>0</v>
          </cell>
          <cell r="JX87">
            <v>0</v>
          </cell>
          <cell r="JY87" t="str">
            <v>nd</v>
          </cell>
          <cell r="JZ87">
            <v>25.557220600000001</v>
          </cell>
          <cell r="KA87">
            <v>0</v>
          </cell>
          <cell r="KB87">
            <v>0</v>
          </cell>
          <cell r="KC87">
            <v>0</v>
          </cell>
          <cell r="KD87">
            <v>0</v>
          </cell>
          <cell r="KE87">
            <v>0</v>
          </cell>
          <cell r="KF87">
            <v>51.890592000000005</v>
          </cell>
          <cell r="KG87">
            <v>0</v>
          </cell>
          <cell r="KH87">
            <v>0</v>
          </cell>
          <cell r="KI87">
            <v>0</v>
          </cell>
          <cell r="KJ87">
            <v>0</v>
          </cell>
          <cell r="KK87">
            <v>0</v>
          </cell>
          <cell r="KL87">
            <v>16.2055437</v>
          </cell>
          <cell r="KM87">
            <v>40.799999999999997</v>
          </cell>
          <cell r="KN87">
            <v>46.300000000000004</v>
          </cell>
          <cell r="KO87">
            <v>1.4000000000000001</v>
          </cell>
          <cell r="KP87">
            <v>4.3999999999999995</v>
          </cell>
          <cell r="KQ87">
            <v>6</v>
          </cell>
          <cell r="KR87">
            <v>1.0999999999999999</v>
          </cell>
          <cell r="KS87">
            <v>40.1</v>
          </cell>
          <cell r="KT87">
            <v>45.9</v>
          </cell>
          <cell r="KU87">
            <v>1.5</v>
          </cell>
          <cell r="KV87">
            <v>4.5999999999999996</v>
          </cell>
          <cell r="KW87">
            <v>6.9</v>
          </cell>
          <cell r="KX87">
            <v>1.0999999999999999</v>
          </cell>
          <cell r="KY87"/>
          <cell r="KZ87"/>
          <cell r="LA87"/>
          <cell r="LB87"/>
          <cell r="LC87"/>
          <cell r="LD87"/>
          <cell r="LE87"/>
          <cell r="LF87"/>
          <cell r="LG87"/>
          <cell r="LH87"/>
          <cell r="LI87"/>
          <cell r="LJ87"/>
          <cell r="LK87"/>
          <cell r="LL87"/>
          <cell r="LM87"/>
          <cell r="LN87"/>
          <cell r="LO87"/>
        </row>
        <row r="88">
          <cell r="A88" t="str">
            <v>4KZ</v>
          </cell>
          <cell r="B88" t="str">
            <v>88</v>
          </cell>
          <cell r="C88" t="str">
            <v>NAF 17</v>
          </cell>
          <cell r="D88" t="str">
            <v>KZ</v>
          </cell>
          <cell r="E88" t="str">
            <v>4</v>
          </cell>
          <cell r="F88">
            <v>0</v>
          </cell>
          <cell r="G88">
            <v>3</v>
          </cell>
          <cell r="H88">
            <v>32</v>
          </cell>
          <cell r="I88">
            <v>48</v>
          </cell>
          <cell r="J88">
            <v>17</v>
          </cell>
          <cell r="K88">
            <v>83.399999999999991</v>
          </cell>
          <cell r="L88" t="str">
            <v>nd</v>
          </cell>
          <cell r="M88" t="str">
            <v>nd</v>
          </cell>
          <cell r="N88">
            <v>0</v>
          </cell>
          <cell r="O88">
            <v>10.199999999999999</v>
          </cell>
          <cell r="P88">
            <v>35.6</v>
          </cell>
          <cell r="Q88" t="str">
            <v>nd</v>
          </cell>
          <cell r="R88">
            <v>8.1</v>
          </cell>
          <cell r="S88">
            <v>12.2</v>
          </cell>
          <cell r="T88">
            <v>20.8</v>
          </cell>
          <cell r="U88" t="str">
            <v>nd</v>
          </cell>
          <cell r="V88">
            <v>44</v>
          </cell>
          <cell r="W88">
            <v>7.1</v>
          </cell>
          <cell r="X88">
            <v>83.8</v>
          </cell>
          <cell r="Y88">
            <v>9.1</v>
          </cell>
          <cell r="Z88" t="str">
            <v>nd</v>
          </cell>
          <cell r="AA88" t="str">
            <v>nd</v>
          </cell>
          <cell r="AB88" t="str">
            <v>nd</v>
          </cell>
          <cell r="AC88">
            <v>100</v>
          </cell>
          <cell r="AD88" t="str">
            <v>nd</v>
          </cell>
          <cell r="AE88">
            <v>32.6</v>
          </cell>
          <cell r="AF88">
            <v>67.400000000000006</v>
          </cell>
          <cell r="AG88">
            <v>73.5</v>
          </cell>
          <cell r="AH88">
            <v>26.5</v>
          </cell>
          <cell r="AI88">
            <v>27.1</v>
          </cell>
          <cell r="AJ88" t="str">
            <v>nd</v>
          </cell>
          <cell r="AK88">
            <v>0</v>
          </cell>
          <cell r="AL88">
            <v>50.8</v>
          </cell>
          <cell r="AM88" t="str">
            <v>nd</v>
          </cell>
          <cell r="AN88" t="str">
            <v>nd</v>
          </cell>
          <cell r="AO88">
            <v>0</v>
          </cell>
          <cell r="AP88">
            <v>9.1999999999999993</v>
          </cell>
          <cell r="AQ88">
            <v>81.599999999999994</v>
          </cell>
          <cell r="AR88">
            <v>0</v>
          </cell>
          <cell r="AS88">
            <v>28.599999999999998</v>
          </cell>
          <cell r="AT88">
            <v>18.7</v>
          </cell>
          <cell r="AU88">
            <v>15.1</v>
          </cell>
          <cell r="AV88">
            <v>14.7</v>
          </cell>
          <cell r="AW88">
            <v>7.7</v>
          </cell>
          <cell r="AX88">
            <v>15.2</v>
          </cell>
          <cell r="AY88">
            <v>22.2</v>
          </cell>
          <cell r="AZ88">
            <v>17.2</v>
          </cell>
          <cell r="BA88">
            <v>9.6</v>
          </cell>
          <cell r="BB88">
            <v>25.5</v>
          </cell>
          <cell r="BC88">
            <v>19.7</v>
          </cell>
          <cell r="BD88">
            <v>5.7</v>
          </cell>
          <cell r="BE88">
            <v>0</v>
          </cell>
          <cell r="BF88">
            <v>0</v>
          </cell>
          <cell r="BG88" t="str">
            <v>nd</v>
          </cell>
          <cell r="BH88">
            <v>5.5</v>
          </cell>
          <cell r="BI88">
            <v>15.4</v>
          </cell>
          <cell r="BJ88">
            <v>77.5</v>
          </cell>
          <cell r="BK88">
            <v>0</v>
          </cell>
          <cell r="BL88">
            <v>0</v>
          </cell>
          <cell r="BM88">
            <v>0</v>
          </cell>
          <cell r="BN88" t="str">
            <v>nd</v>
          </cell>
          <cell r="BO88">
            <v>87.2</v>
          </cell>
          <cell r="BP88">
            <v>10.5</v>
          </cell>
          <cell r="BQ88">
            <v>0</v>
          </cell>
          <cell r="BR88">
            <v>0</v>
          </cell>
          <cell r="BS88">
            <v>0</v>
          </cell>
          <cell r="BT88">
            <v>10.100000000000001</v>
          </cell>
          <cell r="BU88">
            <v>83.8</v>
          </cell>
          <cell r="BV88">
            <v>6.1</v>
          </cell>
          <cell r="BW88">
            <v>0</v>
          </cell>
          <cell r="BX88">
            <v>0</v>
          </cell>
          <cell r="BY88">
            <v>0</v>
          </cell>
          <cell r="BZ88">
            <v>0</v>
          </cell>
          <cell r="CA88" t="str">
            <v>nd</v>
          </cell>
          <cell r="CB88">
            <v>99</v>
          </cell>
          <cell r="CC88">
            <v>19.8</v>
          </cell>
          <cell r="CD88">
            <v>13</v>
          </cell>
          <cell r="CE88">
            <v>0</v>
          </cell>
          <cell r="CF88">
            <v>0</v>
          </cell>
          <cell r="CG88">
            <v>0</v>
          </cell>
          <cell r="CH88">
            <v>9.9</v>
          </cell>
          <cell r="CI88">
            <v>9.5</v>
          </cell>
          <cell r="CJ88">
            <v>64.8</v>
          </cell>
          <cell r="CK88">
            <v>28.000000000000004</v>
          </cell>
          <cell r="CL88">
            <v>5.0999999999999996</v>
          </cell>
          <cell r="CM88" t="str">
            <v>nd</v>
          </cell>
          <cell r="CN88" t="str">
            <v>nd</v>
          </cell>
          <cell r="CO88">
            <v>72.099999999999994</v>
          </cell>
          <cell r="CP88">
            <v>44.3</v>
          </cell>
          <cell r="CQ88">
            <v>21.4</v>
          </cell>
          <cell r="CR88">
            <v>8.9</v>
          </cell>
          <cell r="CS88">
            <v>25.4</v>
          </cell>
          <cell r="CT88">
            <v>9.4</v>
          </cell>
          <cell r="CU88">
            <v>90.600000000000009</v>
          </cell>
          <cell r="CV88">
            <v>15.9</v>
          </cell>
          <cell r="CW88">
            <v>84.1</v>
          </cell>
          <cell r="CX88">
            <v>18</v>
          </cell>
          <cell r="CY88">
            <v>24.5</v>
          </cell>
          <cell r="CZ88">
            <v>57.499999999999993</v>
          </cell>
          <cell r="DA88">
            <v>43.6</v>
          </cell>
          <cell r="DB88" t="str">
            <v>nd</v>
          </cell>
          <cell r="DC88">
            <v>0</v>
          </cell>
          <cell r="DD88">
            <v>0</v>
          </cell>
          <cell r="DE88">
            <v>56.399999999999991</v>
          </cell>
          <cell r="DF88">
            <v>30.2</v>
          </cell>
          <cell r="DG88">
            <v>11.1</v>
          </cell>
          <cell r="DH88">
            <v>18.8</v>
          </cell>
          <cell r="DI88">
            <v>10.4</v>
          </cell>
          <cell r="DJ88">
            <v>9.1</v>
          </cell>
          <cell r="DK88">
            <v>20.399999999999999</v>
          </cell>
          <cell r="DL88">
            <v>22.5</v>
          </cell>
          <cell r="DM88">
            <v>20.5</v>
          </cell>
          <cell r="DN88">
            <v>16.2</v>
          </cell>
          <cell r="DO88">
            <v>23.5</v>
          </cell>
          <cell r="DP88">
            <v>20.200000000000003</v>
          </cell>
          <cell r="DQ88">
            <v>4.1000000000000005</v>
          </cell>
          <cell r="DR88" t="str">
            <v>nd</v>
          </cell>
          <cell r="DS88">
            <v>25.7</v>
          </cell>
          <cell r="DT88">
            <v>22</v>
          </cell>
          <cell r="DU88">
            <v>0</v>
          </cell>
          <cell r="DV88">
            <v>0</v>
          </cell>
          <cell r="DW88">
            <v>0</v>
          </cell>
          <cell r="DX88">
            <v>0</v>
          </cell>
          <cell r="DY88">
            <v>0</v>
          </cell>
          <cell r="DZ88">
            <v>0</v>
          </cell>
          <cell r="EA88" t="str">
            <v>nd</v>
          </cell>
          <cell r="EB88" t="str">
            <v>nd</v>
          </cell>
          <cell r="EC88">
            <v>0</v>
          </cell>
          <cell r="ED88">
            <v>0</v>
          </cell>
          <cell r="EE88" t="str">
            <v>nd</v>
          </cell>
          <cell r="EF88">
            <v>12.1893186</v>
          </cell>
          <cell r="EG88">
            <v>5.0029200000000005</v>
          </cell>
          <cell r="EH88">
            <v>5.82822</v>
          </cell>
          <cell r="EI88" t="str">
            <v>nd</v>
          </cell>
          <cell r="EJ88" t="str">
            <v>nd</v>
          </cell>
          <cell r="EK88">
            <v>6.6656252</v>
          </cell>
          <cell r="EL88">
            <v>11.1419312</v>
          </cell>
          <cell r="EM88">
            <v>10.9104461</v>
          </cell>
          <cell r="EN88">
            <v>7.9408351000000001</v>
          </cell>
          <cell r="EO88">
            <v>11.051842500000001</v>
          </cell>
          <cell r="EP88">
            <v>5.9813299999999998</v>
          </cell>
          <cell r="EQ88" t="str">
            <v>nd</v>
          </cell>
          <cell r="ER88">
            <v>5.4973900000000002</v>
          </cell>
          <cell r="ES88" t="str">
            <v>nd</v>
          </cell>
          <cell r="ET88">
            <v>0</v>
          </cell>
          <cell r="EU88" t="str">
            <v>nd</v>
          </cell>
          <cell r="EV88">
            <v>0</v>
          </cell>
          <cell r="EW88">
            <v>6.7717317999999995</v>
          </cell>
          <cell r="EX88">
            <v>0</v>
          </cell>
          <cell r="EY88">
            <v>0</v>
          </cell>
          <cell r="EZ88">
            <v>0</v>
          </cell>
          <cell r="FA88">
            <v>0</v>
          </cell>
          <cell r="FB88">
            <v>0</v>
          </cell>
          <cell r="FC88" t="str">
            <v>nd</v>
          </cell>
          <cell r="FD88" t="str">
            <v>nd</v>
          </cell>
          <cell r="FE88">
            <v>0</v>
          </cell>
          <cell r="FF88" t="str">
            <v>nd</v>
          </cell>
          <cell r="FG88">
            <v>0</v>
          </cell>
          <cell r="FH88">
            <v>0</v>
          </cell>
          <cell r="FI88" t="str">
            <v>nd</v>
          </cell>
          <cell r="FJ88">
            <v>5.7236200000000004</v>
          </cell>
          <cell r="FK88" t="str">
            <v>nd</v>
          </cell>
          <cell r="FL88">
            <v>8.4401973000000012</v>
          </cell>
          <cell r="FM88">
            <v>10.926680299999999</v>
          </cell>
          <cell r="FN88" t="str">
            <v>nd</v>
          </cell>
          <cell r="FO88">
            <v>13.3378367</v>
          </cell>
          <cell r="FP88">
            <v>6.4888572000000009</v>
          </cell>
          <cell r="FQ88">
            <v>8.9611345</v>
          </cell>
          <cell r="FR88">
            <v>9.6907267000000008</v>
          </cell>
          <cell r="FS88">
            <v>7.4486719000000008</v>
          </cell>
          <cell r="FT88" t="str">
            <v>nd</v>
          </cell>
          <cell r="FU88">
            <v>5.23156</v>
          </cell>
          <cell r="FV88">
            <v>4.1864100000000004</v>
          </cell>
          <cell r="FW88">
            <v>0</v>
          </cell>
          <cell r="FX88">
            <v>6.0047999999999995</v>
          </cell>
          <cell r="FY88" t="str">
            <v>nd</v>
          </cell>
          <cell r="FZ88">
            <v>0</v>
          </cell>
          <cell r="GA88">
            <v>0</v>
          </cell>
          <cell r="GB88">
            <v>0</v>
          </cell>
          <cell r="GC88">
            <v>0</v>
          </cell>
          <cell r="GD88">
            <v>0</v>
          </cell>
          <cell r="GE88">
            <v>0</v>
          </cell>
          <cell r="GF88">
            <v>0</v>
          </cell>
          <cell r="GG88">
            <v>0</v>
          </cell>
          <cell r="GH88">
            <v>0</v>
          </cell>
          <cell r="GI88" t="str">
            <v>nd</v>
          </cell>
          <cell r="GJ88">
            <v>0</v>
          </cell>
          <cell r="GK88" t="str">
            <v>nd</v>
          </cell>
          <cell r="GL88">
            <v>0</v>
          </cell>
          <cell r="GM88">
            <v>0</v>
          </cell>
          <cell r="GN88" t="str">
            <v>nd</v>
          </cell>
          <cell r="GO88" t="str">
            <v>nd</v>
          </cell>
          <cell r="GP88">
            <v>5.1387299999999998</v>
          </cell>
          <cell r="GQ88">
            <v>24.723797300000001</v>
          </cell>
          <cell r="GR88">
            <v>0</v>
          </cell>
          <cell r="GS88">
            <v>0</v>
          </cell>
          <cell r="GT88">
            <v>0</v>
          </cell>
          <cell r="GU88" t="str">
            <v>nd</v>
          </cell>
          <cell r="GV88">
            <v>5.3894699999999993</v>
          </cell>
          <cell r="GW88">
            <v>40.150224399999999</v>
          </cell>
          <cell r="GX88">
            <v>0</v>
          </cell>
          <cell r="GY88">
            <v>0</v>
          </cell>
          <cell r="GZ88">
            <v>0</v>
          </cell>
          <cell r="HA88">
            <v>0</v>
          </cell>
          <cell r="HB88" t="str">
            <v>nd</v>
          </cell>
          <cell r="HC88">
            <v>11.934417999999999</v>
          </cell>
          <cell r="HD88">
            <v>0</v>
          </cell>
          <cell r="HE88">
            <v>0</v>
          </cell>
          <cell r="HF88">
            <v>0</v>
          </cell>
          <cell r="HG88">
            <v>0</v>
          </cell>
          <cell r="HH88">
            <v>0</v>
          </cell>
          <cell r="HI88">
            <v>0</v>
          </cell>
          <cell r="HJ88">
            <v>0</v>
          </cell>
          <cell r="HK88">
            <v>0</v>
          </cell>
          <cell r="HL88">
            <v>0</v>
          </cell>
          <cell r="HM88">
            <v>2.9493900000000002</v>
          </cell>
          <cell r="HN88">
            <v>0</v>
          </cell>
          <cell r="HO88">
            <v>0</v>
          </cell>
          <cell r="HP88">
            <v>0</v>
          </cell>
          <cell r="HQ88">
            <v>0</v>
          </cell>
          <cell r="HR88" t="str">
            <v>nd</v>
          </cell>
          <cell r="HS88">
            <v>27.473902599999999</v>
          </cell>
          <cell r="HT88">
            <v>3.7094399999999998</v>
          </cell>
          <cell r="HU88">
            <v>0</v>
          </cell>
          <cell r="HV88">
            <v>0</v>
          </cell>
          <cell r="HW88">
            <v>0</v>
          </cell>
          <cell r="HX88" t="str">
            <v>nd</v>
          </cell>
          <cell r="HY88">
            <v>41.202992899999998</v>
          </cell>
          <cell r="HZ88">
            <v>5.7671000000000001</v>
          </cell>
          <cell r="IA88">
            <v>0</v>
          </cell>
          <cell r="IB88">
            <v>0</v>
          </cell>
          <cell r="IC88">
            <v>0</v>
          </cell>
          <cell r="ID88">
            <v>0</v>
          </cell>
          <cell r="IE88">
            <v>15.577443299999999</v>
          </cell>
          <cell r="IF88" t="str">
            <v>nd</v>
          </cell>
          <cell r="IG88">
            <v>0</v>
          </cell>
          <cell r="IH88">
            <v>0</v>
          </cell>
          <cell r="II88">
            <v>0</v>
          </cell>
          <cell r="IJ88">
            <v>0</v>
          </cell>
          <cell r="IK88">
            <v>0</v>
          </cell>
          <cell r="IL88">
            <v>0</v>
          </cell>
          <cell r="IM88">
            <v>0</v>
          </cell>
          <cell r="IN88">
            <v>0</v>
          </cell>
          <cell r="IO88" t="str">
            <v>nd</v>
          </cell>
          <cell r="IP88" t="str">
            <v>nd</v>
          </cell>
          <cell r="IQ88">
            <v>0</v>
          </cell>
          <cell r="IR88">
            <v>0</v>
          </cell>
          <cell r="IS88">
            <v>0</v>
          </cell>
          <cell r="IT88">
            <v>0</v>
          </cell>
          <cell r="IU88">
            <v>4.5675100000000004</v>
          </cell>
          <cell r="IV88">
            <v>23.7777046</v>
          </cell>
          <cell r="IW88">
            <v>4.7284199999999998</v>
          </cell>
          <cell r="IX88">
            <v>0</v>
          </cell>
          <cell r="IY88">
            <v>0</v>
          </cell>
          <cell r="IZ88">
            <v>0</v>
          </cell>
          <cell r="JA88" t="str">
            <v>nd</v>
          </cell>
          <cell r="JB88">
            <v>44.2043252</v>
          </cell>
          <cell r="JC88" t="str">
            <v>nd</v>
          </cell>
          <cell r="JD88">
            <v>0</v>
          </cell>
          <cell r="JE88">
            <v>0</v>
          </cell>
          <cell r="JF88">
            <v>0</v>
          </cell>
          <cell r="JG88">
            <v>2.8053000000000003</v>
          </cell>
          <cell r="JH88">
            <v>13.944214699999998</v>
          </cell>
          <cell r="JI88">
            <v>0</v>
          </cell>
          <cell r="JJ88">
            <v>0</v>
          </cell>
          <cell r="JK88">
            <v>0</v>
          </cell>
          <cell r="JL88">
            <v>0</v>
          </cell>
          <cell r="JM88">
            <v>0</v>
          </cell>
          <cell r="JN88">
            <v>0</v>
          </cell>
          <cell r="JO88">
            <v>0</v>
          </cell>
          <cell r="JP88">
            <v>0</v>
          </cell>
          <cell r="JQ88">
            <v>0</v>
          </cell>
          <cell r="JR88">
            <v>0</v>
          </cell>
          <cell r="JS88">
            <v>0</v>
          </cell>
          <cell r="JT88">
            <v>2.9557900000000004</v>
          </cell>
          <cell r="JU88">
            <v>0</v>
          </cell>
          <cell r="JV88">
            <v>0</v>
          </cell>
          <cell r="JW88">
            <v>0</v>
          </cell>
          <cell r="JX88">
            <v>0</v>
          </cell>
          <cell r="JY88">
            <v>0</v>
          </cell>
          <cell r="JZ88">
            <v>32.424528699999996</v>
          </cell>
          <cell r="KA88">
            <v>0</v>
          </cell>
          <cell r="KB88">
            <v>0</v>
          </cell>
          <cell r="KC88">
            <v>0</v>
          </cell>
          <cell r="KD88">
            <v>0</v>
          </cell>
          <cell r="KE88" t="str">
            <v>nd</v>
          </cell>
          <cell r="KF88">
            <v>46.922274299999998</v>
          </cell>
          <cell r="KG88">
            <v>0</v>
          </cell>
          <cell r="KH88">
            <v>0</v>
          </cell>
          <cell r="KI88">
            <v>0</v>
          </cell>
          <cell r="KJ88">
            <v>0</v>
          </cell>
          <cell r="KK88">
            <v>0</v>
          </cell>
          <cell r="KL88">
            <v>16.711138099999999</v>
          </cell>
          <cell r="KM88">
            <v>42.6</v>
          </cell>
          <cell r="KN88">
            <v>41.3</v>
          </cell>
          <cell r="KO88">
            <v>3.2</v>
          </cell>
          <cell r="KP88">
            <v>5.7</v>
          </cell>
          <cell r="KQ88">
            <v>7.1</v>
          </cell>
          <cell r="KR88">
            <v>0</v>
          </cell>
          <cell r="KS88">
            <v>41.4</v>
          </cell>
          <cell r="KT88">
            <v>42</v>
          </cell>
          <cell r="KU88">
            <v>3.4000000000000004</v>
          </cell>
          <cell r="KV88">
            <v>5.7</v>
          </cell>
          <cell r="KW88">
            <v>7.5</v>
          </cell>
          <cell r="KX88">
            <v>0</v>
          </cell>
          <cell r="KY88"/>
          <cell r="KZ88"/>
          <cell r="LA88"/>
          <cell r="LB88"/>
          <cell r="LC88"/>
          <cell r="LD88"/>
          <cell r="LE88"/>
          <cell r="LF88"/>
          <cell r="LG88"/>
          <cell r="LH88"/>
          <cell r="LI88"/>
          <cell r="LJ88"/>
          <cell r="LK88"/>
          <cell r="LL88"/>
          <cell r="LM88"/>
          <cell r="LN88"/>
          <cell r="LO88"/>
        </row>
        <row r="89">
          <cell r="A89" t="str">
            <v>5KZ</v>
          </cell>
          <cell r="B89" t="str">
            <v>89</v>
          </cell>
          <cell r="C89" t="str">
            <v>NAF 17</v>
          </cell>
          <cell r="D89" t="str">
            <v>KZ</v>
          </cell>
          <cell r="E89" t="str">
            <v>5</v>
          </cell>
          <cell r="F89">
            <v>0</v>
          </cell>
          <cell r="G89" t="str">
            <v>nd</v>
          </cell>
          <cell r="H89">
            <v>20.3</v>
          </cell>
          <cell r="I89">
            <v>57.199999999999996</v>
          </cell>
          <cell r="J89">
            <v>19.2</v>
          </cell>
          <cell r="K89">
            <v>81.8</v>
          </cell>
          <cell r="L89" t="str">
            <v>nd</v>
          </cell>
          <cell r="M89" t="str">
            <v>nd</v>
          </cell>
          <cell r="N89" t="str">
            <v>nd</v>
          </cell>
          <cell r="O89">
            <v>8.7999999999999989</v>
          </cell>
          <cell r="P89">
            <v>35.4</v>
          </cell>
          <cell r="Q89" t="str">
            <v>nd</v>
          </cell>
          <cell r="R89" t="str">
            <v>nd</v>
          </cell>
          <cell r="S89">
            <v>21.5</v>
          </cell>
          <cell r="T89">
            <v>15.8</v>
          </cell>
          <cell r="U89" t="str">
            <v>nd</v>
          </cell>
          <cell r="V89">
            <v>36.1</v>
          </cell>
          <cell r="W89">
            <v>9.1</v>
          </cell>
          <cell r="X89">
            <v>77.7</v>
          </cell>
          <cell r="Y89">
            <v>13.200000000000001</v>
          </cell>
          <cell r="Z89">
            <v>0</v>
          </cell>
          <cell r="AA89" t="str">
            <v>nd</v>
          </cell>
          <cell r="AB89" t="str">
            <v>nd</v>
          </cell>
          <cell r="AC89" t="str">
            <v>nd</v>
          </cell>
          <cell r="AD89" t="str">
            <v>nd</v>
          </cell>
          <cell r="AE89">
            <v>37.6</v>
          </cell>
          <cell r="AF89">
            <v>62.4</v>
          </cell>
          <cell r="AG89">
            <v>89</v>
          </cell>
          <cell r="AH89">
            <v>11</v>
          </cell>
          <cell r="AI89">
            <v>16.8</v>
          </cell>
          <cell r="AJ89" t="str">
            <v>nd</v>
          </cell>
          <cell r="AK89">
            <v>0</v>
          </cell>
          <cell r="AL89">
            <v>73.400000000000006</v>
          </cell>
          <cell r="AM89">
            <v>0</v>
          </cell>
          <cell r="AN89" t="str">
            <v>nd</v>
          </cell>
          <cell r="AO89">
            <v>0</v>
          </cell>
          <cell r="AP89" t="str">
            <v>nd</v>
          </cell>
          <cell r="AQ89">
            <v>83.5</v>
          </cell>
          <cell r="AR89" t="str">
            <v>nd</v>
          </cell>
          <cell r="AS89">
            <v>21.4</v>
          </cell>
          <cell r="AT89">
            <v>19.7</v>
          </cell>
          <cell r="AU89">
            <v>28.499999999999996</v>
          </cell>
          <cell r="AV89">
            <v>14.000000000000002</v>
          </cell>
          <cell r="AW89">
            <v>6.8000000000000007</v>
          </cell>
          <cell r="AX89">
            <v>9.7000000000000011</v>
          </cell>
          <cell r="AY89">
            <v>22.2</v>
          </cell>
          <cell r="AZ89">
            <v>26.1</v>
          </cell>
          <cell r="BA89">
            <v>27</v>
          </cell>
          <cell r="BB89">
            <v>6.9</v>
          </cell>
          <cell r="BC89">
            <v>16.7</v>
          </cell>
          <cell r="BD89" t="str">
            <v>nd</v>
          </cell>
          <cell r="BE89">
            <v>0</v>
          </cell>
          <cell r="BF89">
            <v>0</v>
          </cell>
          <cell r="BG89" t="str">
            <v>nd</v>
          </cell>
          <cell r="BH89" t="str">
            <v>nd</v>
          </cell>
          <cell r="BI89">
            <v>20.599999999999998</v>
          </cell>
          <cell r="BJ89">
            <v>77.600000000000009</v>
          </cell>
          <cell r="BK89">
            <v>0</v>
          </cell>
          <cell r="BL89">
            <v>0</v>
          </cell>
          <cell r="BM89">
            <v>0</v>
          </cell>
          <cell r="BN89">
            <v>0</v>
          </cell>
          <cell r="BO89">
            <v>94</v>
          </cell>
          <cell r="BP89">
            <v>6</v>
          </cell>
          <cell r="BQ89">
            <v>0</v>
          </cell>
          <cell r="BR89">
            <v>0</v>
          </cell>
          <cell r="BS89">
            <v>0</v>
          </cell>
          <cell r="BT89">
            <v>11.4</v>
          </cell>
          <cell r="BU89">
            <v>80.800000000000011</v>
          </cell>
          <cell r="BV89">
            <v>7.8</v>
          </cell>
          <cell r="BW89">
            <v>0</v>
          </cell>
          <cell r="BX89">
            <v>0</v>
          </cell>
          <cell r="BY89">
            <v>0</v>
          </cell>
          <cell r="BZ89">
            <v>0</v>
          </cell>
          <cell r="CA89">
            <v>0</v>
          </cell>
          <cell r="CB89">
            <v>100</v>
          </cell>
          <cell r="CC89">
            <v>11.4</v>
          </cell>
          <cell r="CD89">
            <v>14.799999999999999</v>
          </cell>
          <cell r="CE89">
            <v>0</v>
          </cell>
          <cell r="CF89">
            <v>0</v>
          </cell>
          <cell r="CG89">
            <v>0</v>
          </cell>
          <cell r="CH89">
            <v>4.5</v>
          </cell>
          <cell r="CI89" t="str">
            <v>nd</v>
          </cell>
          <cell r="CJ89">
            <v>69.599999999999994</v>
          </cell>
          <cell r="CK89">
            <v>33.900000000000006</v>
          </cell>
          <cell r="CL89">
            <v>0</v>
          </cell>
          <cell r="CM89" t="str">
            <v>nd</v>
          </cell>
          <cell r="CN89">
            <v>0</v>
          </cell>
          <cell r="CO89">
            <v>66.100000000000009</v>
          </cell>
          <cell r="CP89">
            <v>19</v>
          </cell>
          <cell r="CQ89">
            <v>31.6</v>
          </cell>
          <cell r="CR89">
            <v>8.1</v>
          </cell>
          <cell r="CS89">
            <v>41.3</v>
          </cell>
          <cell r="CT89">
            <v>14.399999999999999</v>
          </cell>
          <cell r="CU89">
            <v>85.6</v>
          </cell>
          <cell r="CV89">
            <v>21.5</v>
          </cell>
          <cell r="CW89">
            <v>78.5</v>
          </cell>
          <cell r="CX89">
            <v>37.4</v>
          </cell>
          <cell r="CY89">
            <v>25.900000000000002</v>
          </cell>
          <cell r="CZ89">
            <v>36.700000000000003</v>
          </cell>
          <cell r="DA89">
            <v>58.3</v>
          </cell>
          <cell r="DB89">
            <v>0</v>
          </cell>
          <cell r="DC89">
            <v>0</v>
          </cell>
          <cell r="DD89">
            <v>0</v>
          </cell>
          <cell r="DE89">
            <v>41.699999999999996</v>
          </cell>
          <cell r="DF89">
            <v>31</v>
          </cell>
          <cell r="DG89">
            <v>11.1</v>
          </cell>
          <cell r="DH89">
            <v>19.5</v>
          </cell>
          <cell r="DI89">
            <v>6.6000000000000005</v>
          </cell>
          <cell r="DJ89">
            <v>3.8</v>
          </cell>
          <cell r="DK89">
            <v>27.900000000000002</v>
          </cell>
          <cell r="DL89">
            <v>9.1</v>
          </cell>
          <cell r="DM89">
            <v>14.499999999999998</v>
          </cell>
          <cell r="DN89" t="str">
            <v>nd</v>
          </cell>
          <cell r="DO89">
            <v>36.6</v>
          </cell>
          <cell r="DP89">
            <v>33.1</v>
          </cell>
          <cell r="DQ89" t="str">
            <v>nd</v>
          </cell>
          <cell r="DR89" t="str">
            <v>nd</v>
          </cell>
          <cell r="DS89">
            <v>46.1</v>
          </cell>
          <cell r="DT89">
            <v>20.599999999999998</v>
          </cell>
          <cell r="DU89">
            <v>0</v>
          </cell>
          <cell r="DV89">
            <v>0</v>
          </cell>
          <cell r="DW89">
            <v>0</v>
          </cell>
          <cell r="DX89">
            <v>0</v>
          </cell>
          <cell r="DY89">
            <v>0</v>
          </cell>
          <cell r="DZ89">
            <v>0</v>
          </cell>
          <cell r="EA89" t="str">
            <v>nd</v>
          </cell>
          <cell r="EB89" t="str">
            <v>nd</v>
          </cell>
          <cell r="EC89">
            <v>0</v>
          </cell>
          <cell r="ED89">
            <v>0</v>
          </cell>
          <cell r="EE89">
            <v>0</v>
          </cell>
          <cell r="EF89" t="str">
            <v>nd</v>
          </cell>
          <cell r="EG89">
            <v>5.0480799999999997</v>
          </cell>
          <cell r="EH89">
            <v>9.7210705999999991</v>
          </cell>
          <cell r="EI89" t="str">
            <v>nd</v>
          </cell>
          <cell r="EJ89" t="str">
            <v>nd</v>
          </cell>
          <cell r="EK89" t="str">
            <v>nd</v>
          </cell>
          <cell r="EL89">
            <v>13.157618900000001</v>
          </cell>
          <cell r="EM89">
            <v>9.7262608000000004</v>
          </cell>
          <cell r="EN89">
            <v>11.998322399999999</v>
          </cell>
          <cell r="EO89">
            <v>8.5889521000000002</v>
          </cell>
          <cell r="EP89" t="str">
            <v>nd</v>
          </cell>
          <cell r="EQ89">
            <v>9.4557804999999995</v>
          </cell>
          <cell r="ER89">
            <v>3.7757499999999999</v>
          </cell>
          <cell r="ES89" t="str">
            <v>nd</v>
          </cell>
          <cell r="ET89">
            <v>5.5590200000000003</v>
          </cell>
          <cell r="EU89" t="str">
            <v>nd</v>
          </cell>
          <cell r="EV89" t="str">
            <v>nd</v>
          </cell>
          <cell r="EW89">
            <v>0</v>
          </cell>
          <cell r="EX89">
            <v>0</v>
          </cell>
          <cell r="EY89">
            <v>0</v>
          </cell>
          <cell r="EZ89">
            <v>0</v>
          </cell>
          <cell r="FA89">
            <v>0</v>
          </cell>
          <cell r="FB89">
            <v>0</v>
          </cell>
          <cell r="FC89" t="str">
            <v>nd</v>
          </cell>
          <cell r="FD89">
            <v>0</v>
          </cell>
          <cell r="FE89" t="str">
            <v>nd</v>
          </cell>
          <cell r="FF89">
            <v>0</v>
          </cell>
          <cell r="FG89">
            <v>0</v>
          </cell>
          <cell r="FH89">
            <v>0</v>
          </cell>
          <cell r="FI89" t="str">
            <v>nd</v>
          </cell>
          <cell r="FJ89">
            <v>6.5771869000000001</v>
          </cell>
          <cell r="FK89">
            <v>10.8316777</v>
          </cell>
          <cell r="FL89">
            <v>0</v>
          </cell>
          <cell r="FM89">
            <v>0</v>
          </cell>
          <cell r="FN89" t="str">
            <v>nd</v>
          </cell>
          <cell r="FO89">
            <v>19.269854500000001</v>
          </cell>
          <cell r="FP89">
            <v>14.156685299999999</v>
          </cell>
          <cell r="FQ89">
            <v>8.3103417000000004</v>
          </cell>
          <cell r="FR89" t="str">
            <v>nd</v>
          </cell>
          <cell r="FS89">
            <v>13.208472299999999</v>
          </cell>
          <cell r="FT89">
            <v>0</v>
          </cell>
          <cell r="FU89" t="str">
            <v>nd</v>
          </cell>
          <cell r="FV89">
            <v>6.5853864999999994</v>
          </cell>
          <cell r="FW89">
            <v>6.7543676999999995</v>
          </cell>
          <cell r="FX89">
            <v>4.6039399999999997</v>
          </cell>
          <cell r="FY89">
            <v>0</v>
          </cell>
          <cell r="FZ89" t="str">
            <v>nd</v>
          </cell>
          <cell r="GA89">
            <v>0</v>
          </cell>
          <cell r="GB89">
            <v>0</v>
          </cell>
          <cell r="GC89">
            <v>0</v>
          </cell>
          <cell r="GD89">
            <v>0</v>
          </cell>
          <cell r="GE89">
            <v>0</v>
          </cell>
          <cell r="GF89">
            <v>0</v>
          </cell>
          <cell r="GG89">
            <v>0</v>
          </cell>
          <cell r="GH89">
            <v>0</v>
          </cell>
          <cell r="GI89">
            <v>0</v>
          </cell>
          <cell r="GJ89" t="str">
            <v>nd</v>
          </cell>
          <cell r="GK89" t="str">
            <v>nd</v>
          </cell>
          <cell r="GL89">
            <v>0</v>
          </cell>
          <cell r="GM89">
            <v>0</v>
          </cell>
          <cell r="GN89" t="str">
            <v>nd</v>
          </cell>
          <cell r="GO89">
            <v>0</v>
          </cell>
          <cell r="GP89">
            <v>6.2930215</v>
          </cell>
          <cell r="GQ89">
            <v>10.579228799999999</v>
          </cell>
          <cell r="GR89">
            <v>0</v>
          </cell>
          <cell r="GS89">
            <v>0</v>
          </cell>
          <cell r="GT89">
            <v>0</v>
          </cell>
          <cell r="GU89" t="str">
            <v>nd</v>
          </cell>
          <cell r="GV89">
            <v>5.8045600000000004</v>
          </cell>
          <cell r="GW89">
            <v>51.925731399999997</v>
          </cell>
          <cell r="GX89">
            <v>0</v>
          </cell>
          <cell r="GY89">
            <v>0</v>
          </cell>
          <cell r="GZ89">
            <v>0</v>
          </cell>
          <cell r="HA89">
            <v>0</v>
          </cell>
          <cell r="HB89">
            <v>8.3522331000000012</v>
          </cell>
          <cell r="HC89">
            <v>11.559222</v>
          </cell>
          <cell r="HD89">
            <v>0</v>
          </cell>
          <cell r="HE89">
            <v>0</v>
          </cell>
          <cell r="HF89">
            <v>0</v>
          </cell>
          <cell r="HG89">
            <v>0</v>
          </cell>
          <cell r="HH89">
            <v>0</v>
          </cell>
          <cell r="HI89">
            <v>0</v>
          </cell>
          <cell r="HJ89">
            <v>0</v>
          </cell>
          <cell r="HK89">
            <v>0</v>
          </cell>
          <cell r="HL89">
            <v>0</v>
          </cell>
          <cell r="HM89" t="str">
            <v>nd</v>
          </cell>
          <cell r="HN89">
            <v>0</v>
          </cell>
          <cell r="HO89">
            <v>0</v>
          </cell>
          <cell r="HP89">
            <v>0</v>
          </cell>
          <cell r="HQ89">
            <v>0</v>
          </cell>
          <cell r="HR89">
            <v>0</v>
          </cell>
          <cell r="HS89">
            <v>20.585802900000001</v>
          </cell>
          <cell r="HT89">
            <v>0</v>
          </cell>
          <cell r="HU89">
            <v>0</v>
          </cell>
          <cell r="HV89">
            <v>0</v>
          </cell>
          <cell r="HW89">
            <v>0</v>
          </cell>
          <cell r="HX89">
            <v>0</v>
          </cell>
          <cell r="HY89">
            <v>50.412926199999994</v>
          </cell>
          <cell r="HZ89">
            <v>6.13279</v>
          </cell>
          <cell r="IA89">
            <v>0</v>
          </cell>
          <cell r="IB89">
            <v>0</v>
          </cell>
          <cell r="IC89">
            <v>0</v>
          </cell>
          <cell r="ID89">
            <v>0</v>
          </cell>
          <cell r="IE89">
            <v>19.3020952</v>
          </cell>
          <cell r="IF89" t="str">
            <v>nd</v>
          </cell>
          <cell r="IG89">
            <v>0</v>
          </cell>
          <cell r="IH89">
            <v>0</v>
          </cell>
          <cell r="II89">
            <v>0</v>
          </cell>
          <cell r="IJ89">
            <v>0</v>
          </cell>
          <cell r="IK89">
            <v>0</v>
          </cell>
          <cell r="IL89">
            <v>0</v>
          </cell>
          <cell r="IM89">
            <v>0</v>
          </cell>
          <cell r="IN89">
            <v>0</v>
          </cell>
          <cell r="IO89" t="str">
            <v>nd</v>
          </cell>
          <cell r="IP89" t="str">
            <v>nd</v>
          </cell>
          <cell r="IQ89">
            <v>0</v>
          </cell>
          <cell r="IR89">
            <v>0</v>
          </cell>
          <cell r="IS89">
            <v>0</v>
          </cell>
          <cell r="IT89">
            <v>0</v>
          </cell>
          <cell r="IU89" t="str">
            <v>nd</v>
          </cell>
          <cell r="IV89">
            <v>12.522127299999999</v>
          </cell>
          <cell r="IW89" t="str">
            <v>nd</v>
          </cell>
          <cell r="IX89">
            <v>0</v>
          </cell>
          <cell r="IY89">
            <v>0</v>
          </cell>
          <cell r="IZ89">
            <v>0</v>
          </cell>
          <cell r="JA89" t="str">
            <v>nd</v>
          </cell>
          <cell r="JB89">
            <v>48.580351900000004</v>
          </cell>
          <cell r="JC89" t="str">
            <v>nd</v>
          </cell>
          <cell r="JD89">
            <v>0</v>
          </cell>
          <cell r="JE89">
            <v>0</v>
          </cell>
          <cell r="JF89">
            <v>0</v>
          </cell>
          <cell r="JG89" t="str">
            <v>nd</v>
          </cell>
          <cell r="JH89">
            <v>19.455227699999998</v>
          </cell>
          <cell r="JI89">
            <v>0</v>
          </cell>
          <cell r="JJ89">
            <v>0</v>
          </cell>
          <cell r="JK89">
            <v>0</v>
          </cell>
          <cell r="JL89">
            <v>0</v>
          </cell>
          <cell r="JM89">
            <v>0</v>
          </cell>
          <cell r="JN89">
            <v>0</v>
          </cell>
          <cell r="JO89">
            <v>0</v>
          </cell>
          <cell r="JP89">
            <v>0</v>
          </cell>
          <cell r="JQ89">
            <v>0</v>
          </cell>
          <cell r="JR89">
            <v>0</v>
          </cell>
          <cell r="JS89">
            <v>0</v>
          </cell>
          <cell r="JT89" t="str">
            <v>nd</v>
          </cell>
          <cell r="JU89">
            <v>0</v>
          </cell>
          <cell r="JV89">
            <v>0</v>
          </cell>
          <cell r="JW89">
            <v>0</v>
          </cell>
          <cell r="JX89">
            <v>0</v>
          </cell>
          <cell r="JY89">
            <v>0</v>
          </cell>
          <cell r="JZ89">
            <v>20.488026399999999</v>
          </cell>
          <cell r="KA89">
            <v>0</v>
          </cell>
          <cell r="KB89">
            <v>0</v>
          </cell>
          <cell r="KC89">
            <v>0</v>
          </cell>
          <cell r="KD89">
            <v>0</v>
          </cell>
          <cell r="KE89">
            <v>0</v>
          </cell>
          <cell r="KF89">
            <v>57.939652299999999</v>
          </cell>
          <cell r="KG89">
            <v>0</v>
          </cell>
          <cell r="KH89">
            <v>0</v>
          </cell>
          <cell r="KI89">
            <v>0</v>
          </cell>
          <cell r="KJ89">
            <v>0</v>
          </cell>
          <cell r="KK89">
            <v>0</v>
          </cell>
          <cell r="KL89">
            <v>18.216477600000001</v>
          </cell>
          <cell r="KM89">
            <v>42.1</v>
          </cell>
          <cell r="KN89">
            <v>46.6</v>
          </cell>
          <cell r="KO89">
            <v>1.4000000000000001</v>
          </cell>
          <cell r="KP89">
            <v>4.3999999999999995</v>
          </cell>
          <cell r="KQ89">
            <v>5.6000000000000005</v>
          </cell>
          <cell r="KR89">
            <v>0</v>
          </cell>
          <cell r="KS89">
            <v>41.699999999999996</v>
          </cell>
          <cell r="KT89">
            <v>45.7</v>
          </cell>
          <cell r="KU89">
            <v>1.4000000000000001</v>
          </cell>
          <cell r="KV89">
            <v>4.5999999999999996</v>
          </cell>
          <cell r="KW89">
            <v>6.6000000000000005</v>
          </cell>
          <cell r="KX89">
            <v>0</v>
          </cell>
          <cell r="KY89"/>
          <cell r="KZ89"/>
          <cell r="LA89"/>
          <cell r="LB89"/>
          <cell r="LC89"/>
          <cell r="LD89"/>
          <cell r="LE89"/>
          <cell r="LF89"/>
          <cell r="LG89"/>
          <cell r="LH89"/>
          <cell r="LI89"/>
          <cell r="LJ89"/>
          <cell r="LK89"/>
          <cell r="LL89"/>
          <cell r="LM89"/>
          <cell r="LN89"/>
          <cell r="LO89"/>
        </row>
        <row r="90">
          <cell r="A90" t="str">
            <v>6KZ</v>
          </cell>
          <cell r="B90" t="str">
            <v>90</v>
          </cell>
          <cell r="C90" t="str">
            <v>NAF 17</v>
          </cell>
          <cell r="D90" t="str">
            <v>KZ</v>
          </cell>
          <cell r="E90" t="str">
            <v>6</v>
          </cell>
          <cell r="F90">
            <v>0</v>
          </cell>
          <cell r="G90">
            <v>1.7999999999999998</v>
          </cell>
          <cell r="H90">
            <v>52.7</v>
          </cell>
          <cell r="I90">
            <v>35.799999999999997</v>
          </cell>
          <cell r="J90">
            <v>9.7000000000000011</v>
          </cell>
          <cell r="K90">
            <v>76.400000000000006</v>
          </cell>
          <cell r="L90">
            <v>9.1</v>
          </cell>
          <cell r="M90">
            <v>2.6</v>
          </cell>
          <cell r="N90">
            <v>11.799999999999999</v>
          </cell>
          <cell r="O90">
            <v>7.7</v>
          </cell>
          <cell r="P90">
            <v>38.800000000000004</v>
          </cell>
          <cell r="Q90">
            <v>2.1</v>
          </cell>
          <cell r="R90">
            <v>4</v>
          </cell>
          <cell r="S90">
            <v>9.3000000000000007</v>
          </cell>
          <cell r="T90">
            <v>34.9</v>
          </cell>
          <cell r="U90">
            <v>4.9000000000000004</v>
          </cell>
          <cell r="V90">
            <v>27.800000000000004</v>
          </cell>
          <cell r="W90">
            <v>4.8</v>
          </cell>
          <cell r="X90">
            <v>91.9</v>
          </cell>
          <cell r="Y90">
            <v>3.3000000000000003</v>
          </cell>
          <cell r="Z90">
            <v>0</v>
          </cell>
          <cell r="AA90">
            <v>75</v>
          </cell>
          <cell r="AB90" t="str">
            <v>nd</v>
          </cell>
          <cell r="AC90">
            <v>58.3</v>
          </cell>
          <cell r="AD90">
            <v>20.8</v>
          </cell>
          <cell r="AE90">
            <v>16.7</v>
          </cell>
          <cell r="AF90">
            <v>83.3</v>
          </cell>
          <cell r="AG90">
            <v>96.399999999999991</v>
          </cell>
          <cell r="AH90">
            <v>3.5999999999999996</v>
          </cell>
          <cell r="AI90">
            <v>7.1999999999999993</v>
          </cell>
          <cell r="AJ90">
            <v>4.8</v>
          </cell>
          <cell r="AK90" t="str">
            <v>nd</v>
          </cell>
          <cell r="AL90">
            <v>86.2</v>
          </cell>
          <cell r="AM90" t="str">
            <v>nd</v>
          </cell>
          <cell r="AN90">
            <v>4.8</v>
          </cell>
          <cell r="AO90">
            <v>7.1</v>
          </cell>
          <cell r="AP90" t="str">
            <v>nd</v>
          </cell>
          <cell r="AQ90">
            <v>72.599999999999994</v>
          </cell>
          <cell r="AR90">
            <v>13.100000000000001</v>
          </cell>
          <cell r="AS90">
            <v>21.7</v>
          </cell>
          <cell r="AT90">
            <v>25.7</v>
          </cell>
          <cell r="AU90">
            <v>30</v>
          </cell>
          <cell r="AV90">
            <v>17.899999999999999</v>
          </cell>
          <cell r="AW90">
            <v>4.5999999999999996</v>
          </cell>
          <cell r="AX90" t="str">
            <v>nd</v>
          </cell>
          <cell r="AY90">
            <v>10.9</v>
          </cell>
          <cell r="AZ90">
            <v>18.899999999999999</v>
          </cell>
          <cell r="BA90">
            <v>32</v>
          </cell>
          <cell r="BB90">
            <v>16.400000000000002</v>
          </cell>
          <cell r="BC90">
            <v>20.200000000000003</v>
          </cell>
          <cell r="BD90">
            <v>1.6</v>
          </cell>
          <cell r="BE90">
            <v>0</v>
          </cell>
          <cell r="BF90" t="str">
            <v>nd</v>
          </cell>
          <cell r="BG90" t="str">
            <v>nd</v>
          </cell>
          <cell r="BH90" t="str">
            <v>nd</v>
          </cell>
          <cell r="BI90">
            <v>19</v>
          </cell>
          <cell r="BJ90">
            <v>80.2</v>
          </cell>
          <cell r="BK90">
            <v>0</v>
          </cell>
          <cell r="BL90">
            <v>0</v>
          </cell>
          <cell r="BM90">
            <v>0</v>
          </cell>
          <cell r="BN90">
            <v>14.099999999999998</v>
          </cell>
          <cell r="BO90">
            <v>84.399999999999991</v>
          </cell>
          <cell r="BP90">
            <v>1.6</v>
          </cell>
          <cell r="BQ90">
            <v>0</v>
          </cell>
          <cell r="BR90" t="str">
            <v>nd</v>
          </cell>
          <cell r="BS90">
            <v>0</v>
          </cell>
          <cell r="BT90">
            <v>17</v>
          </cell>
          <cell r="BU90">
            <v>78.900000000000006</v>
          </cell>
          <cell r="BV90">
            <v>3.9</v>
          </cell>
          <cell r="BW90">
            <v>0</v>
          </cell>
          <cell r="BX90">
            <v>0</v>
          </cell>
          <cell r="BY90">
            <v>0</v>
          </cell>
          <cell r="BZ90">
            <v>0</v>
          </cell>
          <cell r="CA90" t="str">
            <v>nd</v>
          </cell>
          <cell r="CB90">
            <v>99.6</v>
          </cell>
          <cell r="CC90">
            <v>18.399999999999999</v>
          </cell>
          <cell r="CD90">
            <v>25.2</v>
          </cell>
          <cell r="CE90">
            <v>1.4000000000000001</v>
          </cell>
          <cell r="CF90">
            <v>0</v>
          </cell>
          <cell r="CG90">
            <v>0</v>
          </cell>
          <cell r="CH90">
            <v>11.3</v>
          </cell>
          <cell r="CI90">
            <v>16.2</v>
          </cell>
          <cell r="CJ90">
            <v>63.2</v>
          </cell>
          <cell r="CK90">
            <v>58.199999999999996</v>
          </cell>
          <cell r="CL90">
            <v>7.8</v>
          </cell>
          <cell r="CM90" t="str">
            <v>nd</v>
          </cell>
          <cell r="CN90" t="str">
            <v>nd</v>
          </cell>
          <cell r="CO90">
            <v>40.9</v>
          </cell>
          <cell r="CP90">
            <v>20</v>
          </cell>
          <cell r="CQ90">
            <v>37.200000000000003</v>
          </cell>
          <cell r="CR90">
            <v>8.3000000000000007</v>
          </cell>
          <cell r="CS90">
            <v>34.5</v>
          </cell>
          <cell r="CT90">
            <v>19.100000000000001</v>
          </cell>
          <cell r="CU90">
            <v>80.900000000000006</v>
          </cell>
          <cell r="CV90">
            <v>42.699999999999996</v>
          </cell>
          <cell r="CW90">
            <v>57.3</v>
          </cell>
          <cell r="CX90">
            <v>55.400000000000006</v>
          </cell>
          <cell r="CY90">
            <v>24.099999999999998</v>
          </cell>
          <cell r="CZ90">
            <v>20.5</v>
          </cell>
          <cell r="DA90">
            <v>60.099999999999994</v>
          </cell>
          <cell r="DB90">
            <v>8.2000000000000011</v>
          </cell>
          <cell r="DC90" t="str">
            <v>nd</v>
          </cell>
          <cell r="DD90" t="str">
            <v>nd</v>
          </cell>
          <cell r="DE90">
            <v>51</v>
          </cell>
          <cell r="DF90">
            <v>10.5</v>
          </cell>
          <cell r="DG90">
            <v>5.8000000000000007</v>
          </cell>
          <cell r="DH90">
            <v>20.100000000000001</v>
          </cell>
          <cell r="DI90">
            <v>19.3</v>
          </cell>
          <cell r="DJ90">
            <v>15.299999999999999</v>
          </cell>
          <cell r="DK90">
            <v>29.099999999999998</v>
          </cell>
          <cell r="DL90">
            <v>11.700000000000001</v>
          </cell>
          <cell r="DM90">
            <v>32.5</v>
          </cell>
          <cell r="DN90">
            <v>6.9</v>
          </cell>
          <cell r="DO90">
            <v>25.6</v>
          </cell>
          <cell r="DP90">
            <v>14.499999999999998</v>
          </cell>
          <cell r="DQ90">
            <v>12.8</v>
          </cell>
          <cell r="DR90" t="str">
            <v>nd</v>
          </cell>
          <cell r="DS90">
            <v>39.5</v>
          </cell>
          <cell r="DT90">
            <v>16.7</v>
          </cell>
          <cell r="DU90">
            <v>0</v>
          </cell>
          <cell r="DV90">
            <v>0</v>
          </cell>
          <cell r="DW90">
            <v>0</v>
          </cell>
          <cell r="DX90">
            <v>0</v>
          </cell>
          <cell r="DY90">
            <v>0</v>
          </cell>
          <cell r="DZ90" t="str">
            <v>nd</v>
          </cell>
          <cell r="EA90" t="str">
            <v>nd</v>
          </cell>
          <cell r="EB90">
            <v>0</v>
          </cell>
          <cell r="EC90" t="str">
            <v>nd</v>
          </cell>
          <cell r="ED90">
            <v>0</v>
          </cell>
          <cell r="EE90">
            <v>0</v>
          </cell>
          <cell r="EF90">
            <v>7.6864591999999998</v>
          </cell>
          <cell r="EG90">
            <v>9.8814728000000009</v>
          </cell>
          <cell r="EH90">
            <v>22.985215799999999</v>
          </cell>
          <cell r="EI90">
            <v>11.123574999999999</v>
          </cell>
          <cell r="EJ90">
            <v>1.08063</v>
          </cell>
          <cell r="EK90">
            <v>0</v>
          </cell>
          <cell r="EL90">
            <v>11.6586751</v>
          </cell>
          <cell r="EM90">
            <v>13.257134000000001</v>
          </cell>
          <cell r="EN90">
            <v>5.6401600000000007</v>
          </cell>
          <cell r="EO90">
            <v>2.0391599999999999</v>
          </cell>
          <cell r="EP90">
            <v>3.1656299999999997</v>
          </cell>
          <cell r="EQ90">
            <v>0</v>
          </cell>
          <cell r="ER90">
            <v>1.9009800000000001</v>
          </cell>
          <cell r="ES90">
            <v>2.2450000000000001</v>
          </cell>
          <cell r="ET90">
            <v>1.55593</v>
          </cell>
          <cell r="EU90">
            <v>3.4297200000000001</v>
          </cell>
          <cell r="EV90" t="str">
            <v>nd</v>
          </cell>
          <cell r="EW90" t="str">
            <v>nd</v>
          </cell>
          <cell r="EX90">
            <v>0</v>
          </cell>
          <cell r="EY90">
            <v>0</v>
          </cell>
          <cell r="EZ90">
            <v>0</v>
          </cell>
          <cell r="FA90">
            <v>0</v>
          </cell>
          <cell r="FB90">
            <v>0</v>
          </cell>
          <cell r="FC90" t="str">
            <v>nd</v>
          </cell>
          <cell r="FD90" t="str">
            <v>nd</v>
          </cell>
          <cell r="FE90">
            <v>0</v>
          </cell>
          <cell r="FF90" t="str">
            <v>nd</v>
          </cell>
          <cell r="FG90" t="str">
            <v>nd</v>
          </cell>
          <cell r="FH90">
            <v>0</v>
          </cell>
          <cell r="FI90" t="str">
            <v>nd</v>
          </cell>
          <cell r="FJ90">
            <v>11.2594861</v>
          </cell>
          <cell r="FK90">
            <v>18.547142999999998</v>
          </cell>
          <cell r="FL90">
            <v>7.3137708999999997</v>
          </cell>
          <cell r="FM90">
            <v>9.0210954999999995</v>
          </cell>
          <cell r="FN90" t="str">
            <v>nd</v>
          </cell>
          <cell r="FO90">
            <v>3.8845999999999998</v>
          </cell>
          <cell r="FP90">
            <v>3.7981699999999998</v>
          </cell>
          <cell r="FQ90">
            <v>10.5824151</v>
          </cell>
          <cell r="FR90">
            <v>7.4258312000000011</v>
          </cell>
          <cell r="FS90">
            <v>8.8481307999999999</v>
          </cell>
          <cell r="FT90" t="str">
            <v>nd</v>
          </cell>
          <cell r="FU90" t="str">
            <v>nd</v>
          </cell>
          <cell r="FV90">
            <v>3.0992800000000003</v>
          </cell>
          <cell r="FW90">
            <v>3.0198800000000001</v>
          </cell>
          <cell r="FX90">
            <v>1.3721300000000001</v>
          </cell>
          <cell r="FY90">
            <v>1.8723000000000001</v>
          </cell>
          <cell r="FZ90">
            <v>0</v>
          </cell>
          <cell r="GA90">
            <v>0</v>
          </cell>
          <cell r="GB90">
            <v>0</v>
          </cell>
          <cell r="GC90">
            <v>0</v>
          </cell>
          <cell r="GD90">
            <v>0</v>
          </cell>
          <cell r="GE90">
            <v>0</v>
          </cell>
          <cell r="GF90">
            <v>0</v>
          </cell>
          <cell r="GG90" t="str">
            <v>nd</v>
          </cell>
          <cell r="GH90">
            <v>0</v>
          </cell>
          <cell r="GI90">
            <v>0</v>
          </cell>
          <cell r="GJ90" t="str">
            <v>nd</v>
          </cell>
          <cell r="GK90" t="str">
            <v>nd</v>
          </cell>
          <cell r="GL90">
            <v>0</v>
          </cell>
          <cell r="GM90">
            <v>0</v>
          </cell>
          <cell r="GN90" t="str">
            <v>nd</v>
          </cell>
          <cell r="GO90">
            <v>0</v>
          </cell>
          <cell r="GP90">
            <v>10.700711200000001</v>
          </cell>
          <cell r="GQ90">
            <v>43.071699000000002</v>
          </cell>
          <cell r="GR90">
            <v>0</v>
          </cell>
          <cell r="GS90">
            <v>0</v>
          </cell>
          <cell r="GT90">
            <v>0</v>
          </cell>
          <cell r="GU90">
            <v>0</v>
          </cell>
          <cell r="GV90">
            <v>7.2161709000000007</v>
          </cell>
          <cell r="GW90">
            <v>27.250240799999997</v>
          </cell>
          <cell r="GX90">
            <v>0</v>
          </cell>
          <cell r="GY90">
            <v>0</v>
          </cell>
          <cell r="GZ90">
            <v>0</v>
          </cell>
          <cell r="HA90" t="str">
            <v>nd</v>
          </cell>
          <cell r="HB90" t="str">
            <v>nd</v>
          </cell>
          <cell r="HC90">
            <v>9.2319996999999994</v>
          </cell>
          <cell r="HD90">
            <v>0</v>
          </cell>
          <cell r="HE90">
            <v>0</v>
          </cell>
          <cell r="HF90">
            <v>0</v>
          </cell>
          <cell r="HG90">
            <v>0</v>
          </cell>
          <cell r="HH90">
            <v>0</v>
          </cell>
          <cell r="HI90">
            <v>0</v>
          </cell>
          <cell r="HJ90">
            <v>0</v>
          </cell>
          <cell r="HK90">
            <v>0</v>
          </cell>
          <cell r="HL90" t="str">
            <v>nd</v>
          </cell>
          <cell r="HM90" t="str">
            <v>nd</v>
          </cell>
          <cell r="HN90">
            <v>0</v>
          </cell>
          <cell r="HO90">
            <v>0</v>
          </cell>
          <cell r="HP90">
            <v>0</v>
          </cell>
          <cell r="HQ90">
            <v>0</v>
          </cell>
          <cell r="HR90">
            <v>12.779405499999999</v>
          </cell>
          <cell r="HS90">
            <v>40.119672699999995</v>
          </cell>
          <cell r="HT90" t="str">
            <v>nd</v>
          </cell>
          <cell r="HU90">
            <v>0</v>
          </cell>
          <cell r="HV90">
            <v>0</v>
          </cell>
          <cell r="HW90">
            <v>0</v>
          </cell>
          <cell r="HX90">
            <v>0.34354000000000001</v>
          </cell>
          <cell r="HY90">
            <v>34.1973652</v>
          </cell>
          <cell r="HZ90">
            <v>1.17493</v>
          </cell>
          <cell r="IA90">
            <v>0</v>
          </cell>
          <cell r="IB90">
            <v>0</v>
          </cell>
          <cell r="IC90">
            <v>0</v>
          </cell>
          <cell r="ID90" t="str">
            <v>nd</v>
          </cell>
          <cell r="IE90">
            <v>9.0127304000000006</v>
          </cell>
          <cell r="IF90" t="str">
            <v>nd</v>
          </cell>
          <cell r="IG90">
            <v>0</v>
          </cell>
          <cell r="IH90">
            <v>0</v>
          </cell>
          <cell r="II90">
            <v>0</v>
          </cell>
          <cell r="IJ90">
            <v>0</v>
          </cell>
          <cell r="IK90">
            <v>0</v>
          </cell>
          <cell r="IL90">
            <v>0</v>
          </cell>
          <cell r="IM90">
            <v>0</v>
          </cell>
          <cell r="IN90">
            <v>0</v>
          </cell>
          <cell r="IO90" t="str">
            <v>nd</v>
          </cell>
          <cell r="IP90" t="str">
            <v>nd</v>
          </cell>
          <cell r="IQ90">
            <v>0</v>
          </cell>
          <cell r="IR90">
            <v>0</v>
          </cell>
          <cell r="IS90">
            <v>0</v>
          </cell>
          <cell r="IT90">
            <v>0</v>
          </cell>
          <cell r="IU90">
            <v>8.2064984999999986</v>
          </cell>
          <cell r="IV90">
            <v>43.657641000000005</v>
          </cell>
          <cell r="IW90">
            <v>0.67563200000000001</v>
          </cell>
          <cell r="IX90">
            <v>0</v>
          </cell>
          <cell r="IY90" t="str">
            <v>nd</v>
          </cell>
          <cell r="IZ90">
            <v>0</v>
          </cell>
          <cell r="JA90">
            <v>5.7246699999999997</v>
          </cell>
          <cell r="JB90">
            <v>26.773595199999999</v>
          </cell>
          <cell r="JC90">
            <v>3.1775099999999998</v>
          </cell>
          <cell r="JD90">
            <v>0</v>
          </cell>
          <cell r="JE90">
            <v>0</v>
          </cell>
          <cell r="JF90">
            <v>0</v>
          </cell>
          <cell r="JG90">
            <v>2.4726399999999997</v>
          </cell>
          <cell r="JH90">
            <v>7.1062436000000009</v>
          </cell>
          <cell r="JI90" t="str">
            <v>nd</v>
          </cell>
          <cell r="JJ90">
            <v>0</v>
          </cell>
          <cell r="JK90">
            <v>0</v>
          </cell>
          <cell r="JL90">
            <v>0</v>
          </cell>
          <cell r="JM90">
            <v>0</v>
          </cell>
          <cell r="JN90">
            <v>0</v>
          </cell>
          <cell r="JO90">
            <v>0</v>
          </cell>
          <cell r="JP90">
            <v>0</v>
          </cell>
          <cell r="JQ90">
            <v>0</v>
          </cell>
          <cell r="JR90">
            <v>0</v>
          </cell>
          <cell r="JS90">
            <v>0</v>
          </cell>
          <cell r="JT90">
            <v>1.8881599999999998</v>
          </cell>
          <cell r="JU90">
            <v>0</v>
          </cell>
          <cell r="JV90">
            <v>0</v>
          </cell>
          <cell r="JW90">
            <v>0</v>
          </cell>
          <cell r="JX90">
            <v>0</v>
          </cell>
          <cell r="JY90" t="str">
            <v>nd</v>
          </cell>
          <cell r="JZ90">
            <v>52.859628100000002</v>
          </cell>
          <cell r="KA90">
            <v>0</v>
          </cell>
          <cell r="KB90">
            <v>0</v>
          </cell>
          <cell r="KC90">
            <v>0</v>
          </cell>
          <cell r="KD90">
            <v>0</v>
          </cell>
          <cell r="KE90">
            <v>0</v>
          </cell>
          <cell r="KF90">
            <v>35.051061400000002</v>
          </cell>
          <cell r="KG90">
            <v>0</v>
          </cell>
          <cell r="KH90">
            <v>0</v>
          </cell>
          <cell r="KI90">
            <v>0</v>
          </cell>
          <cell r="KJ90">
            <v>0</v>
          </cell>
          <cell r="KK90">
            <v>0</v>
          </cell>
          <cell r="KL90">
            <v>9.8483874999999994</v>
          </cell>
          <cell r="KM90">
            <v>49.2</v>
          </cell>
          <cell r="KN90">
            <v>36.199999999999996</v>
          </cell>
          <cell r="KO90">
            <v>1.0999999999999999</v>
          </cell>
          <cell r="KP90">
            <v>6.6000000000000005</v>
          </cell>
          <cell r="KQ90">
            <v>7.0000000000000009</v>
          </cell>
          <cell r="KR90">
            <v>0</v>
          </cell>
          <cell r="KS90">
            <v>47.9</v>
          </cell>
          <cell r="KT90">
            <v>34.599999999999994</v>
          </cell>
          <cell r="KU90">
            <v>1.0999999999999999</v>
          </cell>
          <cell r="KV90">
            <v>8.1</v>
          </cell>
          <cell r="KW90">
            <v>8.3000000000000007</v>
          </cell>
          <cell r="KX90">
            <v>0</v>
          </cell>
          <cell r="KY90"/>
          <cell r="KZ90"/>
          <cell r="LA90"/>
          <cell r="LB90"/>
          <cell r="LC90"/>
          <cell r="LD90"/>
          <cell r="LE90"/>
          <cell r="LF90"/>
          <cell r="LG90"/>
          <cell r="LH90"/>
          <cell r="LI90"/>
          <cell r="LJ90"/>
          <cell r="LK90"/>
          <cell r="LL90"/>
          <cell r="LM90"/>
          <cell r="LN90"/>
          <cell r="LO90"/>
        </row>
        <row r="91">
          <cell r="A91" t="str">
            <v>EnsLZ</v>
          </cell>
          <cell r="B91" t="str">
            <v>91</v>
          </cell>
          <cell r="C91" t="str">
            <v>NAF 17</v>
          </cell>
          <cell r="D91" t="str">
            <v>LZ</v>
          </cell>
          <cell r="E91" t="str">
            <v/>
          </cell>
          <cell r="F91" t="str">
            <v>nd</v>
          </cell>
          <cell r="G91">
            <v>3.9</v>
          </cell>
          <cell r="H91">
            <v>20.7</v>
          </cell>
          <cell r="I91">
            <v>66.900000000000006</v>
          </cell>
          <cell r="J91">
            <v>7.0000000000000009</v>
          </cell>
          <cell r="K91">
            <v>68.899999999999991</v>
          </cell>
          <cell r="L91">
            <v>19.5</v>
          </cell>
          <cell r="M91">
            <v>6</v>
          </cell>
          <cell r="N91">
            <v>5.6000000000000005</v>
          </cell>
          <cell r="O91">
            <v>14.299999999999999</v>
          </cell>
          <cell r="P91">
            <v>40.1</v>
          </cell>
          <cell r="Q91">
            <v>4.7</v>
          </cell>
          <cell r="R91">
            <v>8.7999999999999989</v>
          </cell>
          <cell r="S91">
            <v>9.4</v>
          </cell>
          <cell r="T91">
            <v>8.1</v>
          </cell>
          <cell r="U91">
            <v>6.9</v>
          </cell>
          <cell r="V91">
            <v>35.6</v>
          </cell>
          <cell r="W91">
            <v>6.1</v>
          </cell>
          <cell r="X91">
            <v>85.3</v>
          </cell>
          <cell r="Y91">
            <v>8.6</v>
          </cell>
          <cell r="Z91">
            <v>0</v>
          </cell>
          <cell r="AA91" t="str">
            <v>nd</v>
          </cell>
          <cell r="AB91" t="str">
            <v>nd</v>
          </cell>
          <cell r="AC91">
            <v>57.4</v>
          </cell>
          <cell r="AD91">
            <v>27.900000000000002</v>
          </cell>
          <cell r="AE91">
            <v>43.8</v>
          </cell>
          <cell r="AF91">
            <v>56.2</v>
          </cell>
          <cell r="AG91">
            <v>87.9</v>
          </cell>
          <cell r="AH91">
            <v>12.1</v>
          </cell>
          <cell r="AI91">
            <v>22.7</v>
          </cell>
          <cell r="AJ91">
            <v>11.600000000000001</v>
          </cell>
          <cell r="AK91" t="str">
            <v>nd</v>
          </cell>
          <cell r="AL91">
            <v>60.3</v>
          </cell>
          <cell r="AM91">
            <v>4.9000000000000004</v>
          </cell>
          <cell r="AN91">
            <v>3.3000000000000003</v>
          </cell>
          <cell r="AO91" t="str">
            <v>nd</v>
          </cell>
          <cell r="AP91" t="str">
            <v>nd</v>
          </cell>
          <cell r="AQ91">
            <v>88.4</v>
          </cell>
          <cell r="AR91">
            <v>4.9000000000000004</v>
          </cell>
          <cell r="AS91">
            <v>54</v>
          </cell>
          <cell r="AT91">
            <v>13.200000000000001</v>
          </cell>
          <cell r="AU91">
            <v>7.5</v>
          </cell>
          <cell r="AV91">
            <v>16.900000000000002</v>
          </cell>
          <cell r="AW91">
            <v>3.3000000000000003</v>
          </cell>
          <cell r="AX91">
            <v>5.0999999999999996</v>
          </cell>
          <cell r="AY91">
            <v>2.9000000000000004</v>
          </cell>
          <cell r="AZ91">
            <v>18.099999999999998</v>
          </cell>
          <cell r="BA91">
            <v>12.6</v>
          </cell>
          <cell r="BB91">
            <v>15.5</v>
          </cell>
          <cell r="BC91">
            <v>29.4</v>
          </cell>
          <cell r="BD91">
            <v>21.6</v>
          </cell>
          <cell r="BE91">
            <v>0</v>
          </cell>
          <cell r="BF91" t="str">
            <v>nd</v>
          </cell>
          <cell r="BG91">
            <v>1.7999999999999998</v>
          </cell>
          <cell r="BH91">
            <v>2.1</v>
          </cell>
          <cell r="BI91">
            <v>33.900000000000006</v>
          </cell>
          <cell r="BJ91">
            <v>60.199999999999996</v>
          </cell>
          <cell r="BK91">
            <v>0</v>
          </cell>
          <cell r="BL91">
            <v>0</v>
          </cell>
          <cell r="BM91">
            <v>0</v>
          </cell>
          <cell r="BN91">
            <v>4.9000000000000004</v>
          </cell>
          <cell r="BO91">
            <v>73.5</v>
          </cell>
          <cell r="BP91">
            <v>21.5</v>
          </cell>
          <cell r="BQ91">
            <v>0</v>
          </cell>
          <cell r="BR91">
            <v>0</v>
          </cell>
          <cell r="BS91" t="str">
            <v>nd</v>
          </cell>
          <cell r="BT91">
            <v>17</v>
          </cell>
          <cell r="BU91">
            <v>60</v>
          </cell>
          <cell r="BV91">
            <v>21.8</v>
          </cell>
          <cell r="BW91">
            <v>0</v>
          </cell>
          <cell r="BX91">
            <v>0</v>
          </cell>
          <cell r="BY91">
            <v>0</v>
          </cell>
          <cell r="BZ91">
            <v>0</v>
          </cell>
          <cell r="CA91">
            <v>0.89999999999999991</v>
          </cell>
          <cell r="CB91">
            <v>99.1</v>
          </cell>
          <cell r="CC91">
            <v>27.400000000000002</v>
          </cell>
          <cell r="CD91">
            <v>16.3</v>
          </cell>
          <cell r="CE91">
            <v>0.89999999999999991</v>
          </cell>
          <cell r="CF91">
            <v>0</v>
          </cell>
          <cell r="CG91">
            <v>0</v>
          </cell>
          <cell r="CH91">
            <v>16.3</v>
          </cell>
          <cell r="CI91">
            <v>10.299999999999999</v>
          </cell>
          <cell r="CJ91">
            <v>53.300000000000004</v>
          </cell>
          <cell r="CK91">
            <v>36.199999999999996</v>
          </cell>
          <cell r="CL91">
            <v>4</v>
          </cell>
          <cell r="CM91">
            <v>1.5</v>
          </cell>
          <cell r="CN91" t="str">
            <v>nd</v>
          </cell>
          <cell r="CO91">
            <v>59.099999999999994</v>
          </cell>
          <cell r="CP91">
            <v>24.2</v>
          </cell>
          <cell r="CQ91">
            <v>26.400000000000002</v>
          </cell>
          <cell r="CR91">
            <v>4.1000000000000005</v>
          </cell>
          <cell r="CS91">
            <v>45.300000000000004</v>
          </cell>
          <cell r="CT91">
            <v>17.100000000000001</v>
          </cell>
          <cell r="CU91">
            <v>82.899999999999991</v>
          </cell>
          <cell r="CV91">
            <v>25.2</v>
          </cell>
          <cell r="CW91">
            <v>74.8</v>
          </cell>
          <cell r="CX91">
            <v>19.2</v>
          </cell>
          <cell r="CY91">
            <v>27.900000000000002</v>
          </cell>
          <cell r="CZ91">
            <v>52.900000000000006</v>
          </cell>
          <cell r="DA91">
            <v>35.299999999999997</v>
          </cell>
          <cell r="DB91" t="str">
            <v>nd</v>
          </cell>
          <cell r="DC91">
            <v>19.2</v>
          </cell>
          <cell r="DD91" t="str">
            <v>nd</v>
          </cell>
          <cell r="DE91">
            <v>68.300000000000011</v>
          </cell>
          <cell r="DF91">
            <v>25.6</v>
          </cell>
          <cell r="DG91">
            <v>11.4</v>
          </cell>
          <cell r="DH91">
            <v>21.5</v>
          </cell>
          <cell r="DI91">
            <v>16.600000000000001</v>
          </cell>
          <cell r="DJ91">
            <v>8.2000000000000011</v>
          </cell>
          <cell r="DK91">
            <v>16.8</v>
          </cell>
          <cell r="DL91">
            <v>19</v>
          </cell>
          <cell r="DM91">
            <v>20.8</v>
          </cell>
          <cell r="DN91">
            <v>13.3</v>
          </cell>
          <cell r="DO91">
            <v>31.5</v>
          </cell>
          <cell r="DP91">
            <v>8</v>
          </cell>
          <cell r="DQ91">
            <v>1.2</v>
          </cell>
          <cell r="DR91">
            <v>4.8</v>
          </cell>
          <cell r="DS91">
            <v>37.299999999999997</v>
          </cell>
          <cell r="DT91">
            <v>17.399999999999999</v>
          </cell>
          <cell r="DU91">
            <v>0</v>
          </cell>
          <cell r="DV91">
            <v>0</v>
          </cell>
          <cell r="DW91">
            <v>0</v>
          </cell>
          <cell r="DX91" t="str">
            <v>nd</v>
          </cell>
          <cell r="DY91" t="str">
            <v>nd</v>
          </cell>
          <cell r="DZ91">
            <v>2.0789300000000002</v>
          </cell>
          <cell r="EA91">
            <v>0</v>
          </cell>
          <cell r="EB91">
            <v>0</v>
          </cell>
          <cell r="EC91" t="str">
            <v>nd</v>
          </cell>
          <cell r="ED91" t="str">
            <v>nd</v>
          </cell>
          <cell r="EE91" t="str">
            <v>nd</v>
          </cell>
          <cell r="EF91">
            <v>8.5261765</v>
          </cell>
          <cell r="EG91" t="str">
            <v>nd</v>
          </cell>
          <cell r="EH91">
            <v>3.2198699999999998</v>
          </cell>
          <cell r="EI91">
            <v>8.0206585999999991</v>
          </cell>
          <cell r="EJ91" t="str">
            <v>nd</v>
          </cell>
          <cell r="EK91" t="str">
            <v>nd</v>
          </cell>
          <cell r="EL91">
            <v>38.418927500000002</v>
          </cell>
          <cell r="EM91">
            <v>12.236703</v>
          </cell>
          <cell r="EN91">
            <v>3.89242</v>
          </cell>
          <cell r="EO91">
            <v>6.9769679</v>
          </cell>
          <cell r="EP91">
            <v>2.3169300000000002</v>
          </cell>
          <cell r="EQ91">
            <v>3.5664599999999997</v>
          </cell>
          <cell r="ER91">
            <v>4.8575300000000006</v>
          </cell>
          <cell r="ES91" t="str">
            <v>nd</v>
          </cell>
          <cell r="ET91" t="str">
            <v>nd</v>
          </cell>
          <cell r="EU91">
            <v>0</v>
          </cell>
          <cell r="EV91">
            <v>0</v>
          </cell>
          <cell r="EW91">
            <v>0</v>
          </cell>
          <cell r="EX91">
            <v>0</v>
          </cell>
          <cell r="EY91">
            <v>0</v>
          </cell>
          <cell r="EZ91">
            <v>0</v>
          </cell>
          <cell r="FA91">
            <v>0</v>
          </cell>
          <cell r="FB91" t="str">
            <v>nd</v>
          </cell>
          <cell r="FC91" t="str">
            <v>nd</v>
          </cell>
          <cell r="FD91">
            <v>0</v>
          </cell>
          <cell r="FE91">
            <v>0</v>
          </cell>
          <cell r="FF91" t="str">
            <v>nd</v>
          </cell>
          <cell r="FG91" t="str">
            <v>nd</v>
          </cell>
          <cell r="FH91">
            <v>2.3304200000000002</v>
          </cell>
          <cell r="FI91" t="str">
            <v>nd</v>
          </cell>
          <cell r="FJ91">
            <v>6.9414412999999993</v>
          </cell>
          <cell r="FK91">
            <v>3.6068999999999996</v>
          </cell>
          <cell r="FL91">
            <v>2.6036199999999998</v>
          </cell>
          <cell r="FM91">
            <v>5.1154400000000004</v>
          </cell>
          <cell r="FN91">
            <v>2.9072400000000003</v>
          </cell>
          <cell r="FO91">
            <v>1.80979</v>
          </cell>
          <cell r="FP91">
            <v>10.868724500000001</v>
          </cell>
          <cell r="FQ91">
            <v>8.5895420999999992</v>
          </cell>
          <cell r="FR91">
            <v>11.1723801</v>
          </cell>
          <cell r="FS91">
            <v>21.528926800000001</v>
          </cell>
          <cell r="FT91">
            <v>11.065656199999999</v>
          </cell>
          <cell r="FU91">
            <v>0</v>
          </cell>
          <cell r="FV91" t="str">
            <v>nd</v>
          </cell>
          <cell r="FW91" t="str">
            <v>nd</v>
          </cell>
          <cell r="FX91" t="str">
            <v>nd</v>
          </cell>
          <cell r="FY91">
            <v>2.45499</v>
          </cell>
          <cell r="FZ91">
            <v>3.6142300000000001</v>
          </cell>
          <cell r="GA91">
            <v>0</v>
          </cell>
          <cell r="GB91">
            <v>0</v>
          </cell>
          <cell r="GC91">
            <v>0</v>
          </cell>
          <cell r="GD91">
            <v>0</v>
          </cell>
          <cell r="GE91" t="str">
            <v>nd</v>
          </cell>
          <cell r="GF91">
            <v>0</v>
          </cell>
          <cell r="GG91" t="str">
            <v>nd</v>
          </cell>
          <cell r="GH91">
            <v>0</v>
          </cell>
          <cell r="GI91">
            <v>0</v>
          </cell>
          <cell r="GJ91" t="str">
            <v>nd</v>
          </cell>
          <cell r="GK91">
            <v>2.3529399999999998</v>
          </cell>
          <cell r="GL91">
            <v>0</v>
          </cell>
          <cell r="GM91">
            <v>0</v>
          </cell>
          <cell r="GN91" t="str">
            <v>nd</v>
          </cell>
          <cell r="GO91" t="str">
            <v>nd</v>
          </cell>
          <cell r="GP91">
            <v>12.6628446</v>
          </cell>
          <cell r="GQ91">
            <v>7.3014076999999995</v>
          </cell>
          <cell r="GR91">
            <v>0</v>
          </cell>
          <cell r="GS91">
            <v>0</v>
          </cell>
          <cell r="GT91" t="str">
            <v>nd</v>
          </cell>
          <cell r="GU91" t="str">
            <v>nd</v>
          </cell>
          <cell r="GV91">
            <v>17.827992300000002</v>
          </cell>
          <cell r="GW91">
            <v>45.627077999999997</v>
          </cell>
          <cell r="GX91">
            <v>0</v>
          </cell>
          <cell r="GY91">
            <v>0</v>
          </cell>
          <cell r="GZ91">
            <v>0</v>
          </cell>
          <cell r="HA91">
            <v>0</v>
          </cell>
          <cell r="HB91">
            <v>2.7349899999999998</v>
          </cell>
          <cell r="HC91">
            <v>4.19184</v>
          </cell>
          <cell r="HD91">
            <v>0</v>
          </cell>
          <cell r="HE91" t="str">
            <v>nd</v>
          </cell>
          <cell r="HF91">
            <v>0</v>
          </cell>
          <cell r="HG91">
            <v>0</v>
          </cell>
          <cell r="HH91" t="str">
            <v>nd</v>
          </cell>
          <cell r="HI91">
            <v>0</v>
          </cell>
          <cell r="HJ91">
            <v>0</v>
          </cell>
          <cell r="HK91">
            <v>0</v>
          </cell>
          <cell r="HL91">
            <v>0</v>
          </cell>
          <cell r="HM91">
            <v>1.9834299999999998</v>
          </cell>
          <cell r="HN91">
            <v>2.4593600000000002</v>
          </cell>
          <cell r="HO91">
            <v>0</v>
          </cell>
          <cell r="HP91">
            <v>0</v>
          </cell>
          <cell r="HQ91">
            <v>0</v>
          </cell>
          <cell r="HR91">
            <v>2.0026100000000002</v>
          </cell>
          <cell r="HS91">
            <v>18.314124899999999</v>
          </cell>
          <cell r="HT91">
            <v>1.6146100000000001</v>
          </cell>
          <cell r="HU91">
            <v>0</v>
          </cell>
          <cell r="HV91">
            <v>0</v>
          </cell>
          <cell r="HW91">
            <v>0</v>
          </cell>
          <cell r="HX91">
            <v>2.61504</v>
          </cell>
          <cell r="HY91">
            <v>48.5056364</v>
          </cell>
          <cell r="HZ91">
            <v>14.832900199999999</v>
          </cell>
          <cell r="IA91">
            <v>0</v>
          </cell>
          <cell r="IB91">
            <v>0</v>
          </cell>
          <cell r="IC91">
            <v>0</v>
          </cell>
          <cell r="ID91" t="str">
            <v>nd</v>
          </cell>
          <cell r="IE91">
            <v>4.2765699999999995</v>
          </cell>
          <cell r="IF91">
            <v>1.5755499999999998</v>
          </cell>
          <cell r="IG91">
            <v>0</v>
          </cell>
          <cell r="IH91">
            <v>0</v>
          </cell>
          <cell r="II91">
            <v>0</v>
          </cell>
          <cell r="IJ91" t="str">
            <v>nd</v>
          </cell>
          <cell r="IK91" t="str">
            <v>nd</v>
          </cell>
          <cell r="IL91">
            <v>0</v>
          </cell>
          <cell r="IM91">
            <v>0</v>
          </cell>
          <cell r="IN91" t="str">
            <v>nd</v>
          </cell>
          <cell r="IO91" t="str">
            <v>nd</v>
          </cell>
          <cell r="IP91" t="str">
            <v>nd</v>
          </cell>
          <cell r="IQ91">
            <v>2.62338</v>
          </cell>
          <cell r="IR91">
            <v>0</v>
          </cell>
          <cell r="IS91">
            <v>0</v>
          </cell>
          <cell r="IT91">
            <v>0</v>
          </cell>
          <cell r="IU91">
            <v>5.6357999999999997</v>
          </cell>
          <cell r="IV91">
            <v>14.287508900000001</v>
          </cell>
          <cell r="IW91">
            <v>1.7532599999999998</v>
          </cell>
          <cell r="IX91">
            <v>0</v>
          </cell>
          <cell r="IY91">
            <v>0</v>
          </cell>
          <cell r="IZ91" t="str">
            <v>nd</v>
          </cell>
          <cell r="JA91">
            <v>8.6575895000000003</v>
          </cell>
          <cell r="JB91">
            <v>41.806755600000002</v>
          </cell>
          <cell r="JC91">
            <v>14.6596639</v>
          </cell>
          <cell r="JD91">
            <v>0</v>
          </cell>
          <cell r="JE91">
            <v>0</v>
          </cell>
          <cell r="JF91">
            <v>0</v>
          </cell>
          <cell r="JG91" t="str">
            <v>nd</v>
          </cell>
          <cell r="JH91">
            <v>3.8334700000000002</v>
          </cell>
          <cell r="JI91">
            <v>2.1428699999999998</v>
          </cell>
          <cell r="JJ91">
            <v>0</v>
          </cell>
          <cell r="JK91">
            <v>0</v>
          </cell>
          <cell r="JL91">
            <v>0</v>
          </cell>
          <cell r="JM91">
            <v>0</v>
          </cell>
          <cell r="JN91" t="str">
            <v>nd</v>
          </cell>
          <cell r="JO91">
            <v>0</v>
          </cell>
          <cell r="JP91">
            <v>0</v>
          </cell>
          <cell r="JQ91">
            <v>0</v>
          </cell>
          <cell r="JR91">
            <v>0</v>
          </cell>
          <cell r="JS91">
            <v>0</v>
          </cell>
          <cell r="JT91">
            <v>4.4307600000000003</v>
          </cell>
          <cell r="JU91">
            <v>0</v>
          </cell>
          <cell r="JV91">
            <v>0</v>
          </cell>
          <cell r="JW91">
            <v>0</v>
          </cell>
          <cell r="JX91">
            <v>0</v>
          </cell>
          <cell r="JY91" t="str">
            <v>nd</v>
          </cell>
          <cell r="JZ91">
            <v>21.8047091</v>
          </cell>
          <cell r="KA91">
            <v>0</v>
          </cell>
          <cell r="KB91">
            <v>0</v>
          </cell>
          <cell r="KC91">
            <v>0</v>
          </cell>
          <cell r="KD91">
            <v>0</v>
          </cell>
          <cell r="KE91" t="str">
            <v>nd</v>
          </cell>
          <cell r="KF91">
            <v>64.283799600000009</v>
          </cell>
          <cell r="KG91">
            <v>0</v>
          </cell>
          <cell r="KH91">
            <v>0</v>
          </cell>
          <cell r="KI91">
            <v>0</v>
          </cell>
          <cell r="KJ91">
            <v>0</v>
          </cell>
          <cell r="KK91">
            <v>0</v>
          </cell>
          <cell r="KL91">
            <v>7.0151242000000007</v>
          </cell>
          <cell r="KM91">
            <v>59.599999999999994</v>
          </cell>
          <cell r="KN91">
            <v>22.6</v>
          </cell>
          <cell r="KO91">
            <v>4.2</v>
          </cell>
          <cell r="KP91">
            <v>6.1</v>
          </cell>
          <cell r="KQ91">
            <v>7.3999999999999995</v>
          </cell>
          <cell r="KR91">
            <v>0</v>
          </cell>
          <cell r="KS91">
            <v>59.5</v>
          </cell>
          <cell r="KT91">
            <v>21.9</v>
          </cell>
          <cell r="KU91">
            <v>4</v>
          </cell>
          <cell r="KV91">
            <v>6.3</v>
          </cell>
          <cell r="KW91">
            <v>8.3000000000000007</v>
          </cell>
          <cell r="KX91">
            <v>0</v>
          </cell>
          <cell r="KY91"/>
          <cell r="KZ91"/>
          <cell r="LA91"/>
          <cell r="LB91"/>
          <cell r="LC91"/>
          <cell r="LD91"/>
          <cell r="LE91"/>
          <cell r="LF91"/>
          <cell r="LG91"/>
          <cell r="LH91"/>
          <cell r="LI91"/>
          <cell r="LJ91"/>
          <cell r="LK91"/>
          <cell r="LL91"/>
          <cell r="LM91"/>
          <cell r="LN91"/>
          <cell r="LO91"/>
        </row>
        <row r="92">
          <cell r="A92" t="str">
            <v>1LZ</v>
          </cell>
          <cell r="B92" t="str">
            <v>92</v>
          </cell>
          <cell r="C92" t="str">
            <v>NAF 17</v>
          </cell>
          <cell r="D92" t="str">
            <v>LZ</v>
          </cell>
          <cell r="E92" t="str">
            <v>1</v>
          </cell>
          <cell r="F92">
            <v>0</v>
          </cell>
          <cell r="G92">
            <v>22.7</v>
          </cell>
          <cell r="H92">
            <v>15.4</v>
          </cell>
          <cell r="I92">
            <v>55.300000000000004</v>
          </cell>
          <cell r="J92" t="str">
            <v>nd</v>
          </cell>
          <cell r="K92">
            <v>81.899999999999991</v>
          </cell>
          <cell r="L92" t="str">
            <v>nd</v>
          </cell>
          <cell r="M92">
            <v>0</v>
          </cell>
          <cell r="N92">
            <v>0</v>
          </cell>
          <cell r="O92">
            <v>21.8</v>
          </cell>
          <cell r="P92">
            <v>38.200000000000003</v>
          </cell>
          <cell r="Q92" t="str">
            <v>nd</v>
          </cell>
          <cell r="R92" t="str">
            <v>nd</v>
          </cell>
          <cell r="S92" t="str">
            <v>nd</v>
          </cell>
          <cell r="T92">
            <v>23.599999999999998</v>
          </cell>
          <cell r="U92" t="str">
            <v>nd</v>
          </cell>
          <cell r="V92">
            <v>27.800000000000004</v>
          </cell>
          <cell r="W92" t="str">
            <v>nd</v>
          </cell>
          <cell r="X92">
            <v>85.9</v>
          </cell>
          <cell r="Y92" t="str">
            <v>nd</v>
          </cell>
          <cell r="Z92">
            <v>0</v>
          </cell>
          <cell r="AA92">
            <v>0</v>
          </cell>
          <cell r="AB92">
            <v>0</v>
          </cell>
          <cell r="AC92" t="str">
            <v>nd</v>
          </cell>
          <cell r="AD92">
            <v>0</v>
          </cell>
          <cell r="AE92">
            <v>36.799999999999997</v>
          </cell>
          <cell r="AF92">
            <v>63.2</v>
          </cell>
          <cell r="AG92">
            <v>38.299999999999997</v>
          </cell>
          <cell r="AH92">
            <v>61.7</v>
          </cell>
          <cell r="AI92">
            <v>81.599999999999994</v>
          </cell>
          <cell r="AJ92">
            <v>0</v>
          </cell>
          <cell r="AK92">
            <v>0</v>
          </cell>
          <cell r="AL92" t="str">
            <v>nd</v>
          </cell>
          <cell r="AM92" t="str">
            <v>nd</v>
          </cell>
          <cell r="AN92">
            <v>0</v>
          </cell>
          <cell r="AO92">
            <v>0</v>
          </cell>
          <cell r="AP92">
            <v>0</v>
          </cell>
          <cell r="AQ92">
            <v>100</v>
          </cell>
          <cell r="AR92">
            <v>0</v>
          </cell>
          <cell r="AS92">
            <v>69.599999999999994</v>
          </cell>
          <cell r="AT92">
            <v>0</v>
          </cell>
          <cell r="AU92">
            <v>0</v>
          </cell>
          <cell r="AV92">
            <v>14.000000000000002</v>
          </cell>
          <cell r="AW92">
            <v>0</v>
          </cell>
          <cell r="AX92">
            <v>16.400000000000002</v>
          </cell>
          <cell r="AY92" t="str">
            <v>nd</v>
          </cell>
          <cell r="AZ92">
            <v>0</v>
          </cell>
          <cell r="BA92" t="str">
            <v>nd</v>
          </cell>
          <cell r="BB92">
            <v>17.5</v>
          </cell>
          <cell r="BC92">
            <v>20.200000000000003</v>
          </cell>
          <cell r="BD92">
            <v>56.899999999999991</v>
          </cell>
          <cell r="BE92">
            <v>0</v>
          </cell>
          <cell r="BF92" t="str">
            <v>nd</v>
          </cell>
          <cell r="BG92" t="str">
            <v>nd</v>
          </cell>
          <cell r="BH92" t="str">
            <v>nd</v>
          </cell>
          <cell r="BI92">
            <v>0</v>
          </cell>
          <cell r="BJ92">
            <v>82.5</v>
          </cell>
          <cell r="BK92">
            <v>0</v>
          </cell>
          <cell r="BL92">
            <v>0</v>
          </cell>
          <cell r="BM92">
            <v>0</v>
          </cell>
          <cell r="BN92" t="str">
            <v>nd</v>
          </cell>
          <cell r="BO92">
            <v>33.6</v>
          </cell>
          <cell r="BP92">
            <v>62.1</v>
          </cell>
          <cell r="BQ92">
            <v>0</v>
          </cell>
          <cell r="BR92">
            <v>0</v>
          </cell>
          <cell r="BS92" t="str">
            <v>nd</v>
          </cell>
          <cell r="BT92" t="str">
            <v>nd</v>
          </cell>
          <cell r="BU92">
            <v>24.099999999999998</v>
          </cell>
          <cell r="BV92">
            <v>61.5</v>
          </cell>
          <cell r="BW92">
            <v>0</v>
          </cell>
          <cell r="BX92">
            <v>0</v>
          </cell>
          <cell r="BY92">
            <v>0</v>
          </cell>
          <cell r="BZ92">
            <v>0</v>
          </cell>
          <cell r="CA92">
            <v>0</v>
          </cell>
          <cell r="CB92">
            <v>100</v>
          </cell>
          <cell r="CC92">
            <v>9.6</v>
          </cell>
          <cell r="CD92" t="str">
            <v>nd</v>
          </cell>
          <cell r="CE92" t="str">
            <v>nd</v>
          </cell>
          <cell r="CF92">
            <v>0</v>
          </cell>
          <cell r="CG92">
            <v>0</v>
          </cell>
          <cell r="CH92">
            <v>15</v>
          </cell>
          <cell r="CI92" t="str">
            <v>nd</v>
          </cell>
          <cell r="CJ92">
            <v>72.2</v>
          </cell>
          <cell r="CK92">
            <v>26</v>
          </cell>
          <cell r="CL92">
            <v>0</v>
          </cell>
          <cell r="CM92">
            <v>0</v>
          </cell>
          <cell r="CN92">
            <v>0</v>
          </cell>
          <cell r="CO92">
            <v>72.099999999999994</v>
          </cell>
          <cell r="CP92">
            <v>16.400000000000002</v>
          </cell>
          <cell r="CQ92">
            <v>25.2</v>
          </cell>
          <cell r="CR92">
            <v>13.5</v>
          </cell>
          <cell r="CS92">
            <v>44.9</v>
          </cell>
          <cell r="CT92">
            <v>23.9</v>
          </cell>
          <cell r="CU92">
            <v>76.099999999999994</v>
          </cell>
          <cell r="CV92">
            <v>21.6</v>
          </cell>
          <cell r="CW92">
            <v>78.400000000000006</v>
          </cell>
          <cell r="CX92">
            <v>23.3</v>
          </cell>
          <cell r="CY92">
            <v>28.499999999999996</v>
          </cell>
          <cell r="CZ92">
            <v>48.199999999999996</v>
          </cell>
          <cell r="DA92" t="str">
            <v>nd</v>
          </cell>
          <cell r="DB92" t="str">
            <v>nd</v>
          </cell>
          <cell r="DC92">
            <v>0</v>
          </cell>
          <cell r="DD92">
            <v>0</v>
          </cell>
          <cell r="DE92">
            <v>68.7</v>
          </cell>
          <cell r="DF92">
            <v>17.399999999999999</v>
          </cell>
          <cell r="DG92" t="str">
            <v>nd</v>
          </cell>
          <cell r="DH92" t="str">
            <v>nd</v>
          </cell>
          <cell r="DI92">
            <v>29.599999999999998</v>
          </cell>
          <cell r="DJ92" t="str">
            <v>nd</v>
          </cell>
          <cell r="DK92">
            <v>30.2</v>
          </cell>
          <cell r="DL92">
            <v>19.8</v>
          </cell>
          <cell r="DM92">
            <v>30.8</v>
          </cell>
          <cell r="DN92" t="str">
            <v>nd</v>
          </cell>
          <cell r="DO92">
            <v>19.5</v>
          </cell>
          <cell r="DP92" t="str">
            <v>nd</v>
          </cell>
          <cell r="DQ92">
            <v>0</v>
          </cell>
          <cell r="DR92" t="str">
            <v>nd</v>
          </cell>
          <cell r="DS92">
            <v>21.6</v>
          </cell>
          <cell r="DT92">
            <v>24.7</v>
          </cell>
          <cell r="DU92">
            <v>0</v>
          </cell>
          <cell r="DV92">
            <v>0</v>
          </cell>
          <cell r="DW92">
            <v>0</v>
          </cell>
          <cell r="DX92">
            <v>0</v>
          </cell>
          <cell r="DY92">
            <v>0</v>
          </cell>
          <cell r="DZ92" t="str">
            <v>nd</v>
          </cell>
          <cell r="EA92">
            <v>0</v>
          </cell>
          <cell r="EB92">
            <v>0</v>
          </cell>
          <cell r="EC92" t="str">
            <v>nd</v>
          </cell>
          <cell r="ED92">
            <v>0</v>
          </cell>
          <cell r="EE92">
            <v>0</v>
          </cell>
          <cell r="EF92" t="str">
            <v>nd</v>
          </cell>
          <cell r="EG92">
            <v>0</v>
          </cell>
          <cell r="EH92">
            <v>0</v>
          </cell>
          <cell r="EI92" t="str">
            <v>nd</v>
          </cell>
          <cell r="EJ92">
            <v>0</v>
          </cell>
          <cell r="EK92" t="str">
            <v>nd</v>
          </cell>
          <cell r="EL92">
            <v>41.098782299999996</v>
          </cell>
          <cell r="EM92">
            <v>0</v>
          </cell>
          <cell r="EN92">
            <v>0</v>
          </cell>
          <cell r="EO92" t="str">
            <v>nd</v>
          </cell>
          <cell r="EP92">
            <v>0</v>
          </cell>
          <cell r="EQ92" t="str">
            <v>nd</v>
          </cell>
          <cell r="ER92" t="str">
            <v>nd</v>
          </cell>
          <cell r="ES92">
            <v>0</v>
          </cell>
          <cell r="ET92">
            <v>0</v>
          </cell>
          <cell r="EU92">
            <v>0</v>
          </cell>
          <cell r="EV92">
            <v>0</v>
          </cell>
          <cell r="EW92">
            <v>0</v>
          </cell>
          <cell r="EX92">
            <v>0</v>
          </cell>
          <cell r="EY92">
            <v>0</v>
          </cell>
          <cell r="EZ92">
            <v>0</v>
          </cell>
          <cell r="FA92">
            <v>0</v>
          </cell>
          <cell r="FB92">
            <v>0</v>
          </cell>
          <cell r="FC92">
            <v>0</v>
          </cell>
          <cell r="FD92">
            <v>0</v>
          </cell>
          <cell r="FE92">
            <v>0</v>
          </cell>
          <cell r="FF92" t="str">
            <v>nd</v>
          </cell>
          <cell r="FG92">
            <v>0</v>
          </cell>
          <cell r="FH92" t="str">
            <v>nd</v>
          </cell>
          <cell r="FI92">
            <v>0</v>
          </cell>
          <cell r="FJ92">
            <v>0</v>
          </cell>
          <cell r="FK92" t="str">
            <v>nd</v>
          </cell>
          <cell r="FL92" t="str">
            <v>nd</v>
          </cell>
          <cell r="FM92">
            <v>0</v>
          </cell>
          <cell r="FN92" t="str">
            <v>nd</v>
          </cell>
          <cell r="FO92" t="str">
            <v>nd</v>
          </cell>
          <cell r="FP92">
            <v>0</v>
          </cell>
          <cell r="FQ92">
            <v>0</v>
          </cell>
          <cell r="FR92">
            <v>0</v>
          </cell>
          <cell r="FS92">
            <v>18.107028199999998</v>
          </cell>
          <cell r="FT92">
            <v>26.185385799999999</v>
          </cell>
          <cell r="FU92">
            <v>0</v>
          </cell>
          <cell r="FV92">
            <v>0</v>
          </cell>
          <cell r="FW92">
            <v>0</v>
          </cell>
          <cell r="FX92">
            <v>0</v>
          </cell>
          <cell r="FY92" t="str">
            <v>nd</v>
          </cell>
          <cell r="FZ92" t="str">
            <v>nd</v>
          </cell>
          <cell r="GA92">
            <v>0</v>
          </cell>
          <cell r="GB92">
            <v>0</v>
          </cell>
          <cell r="GC92">
            <v>0</v>
          </cell>
          <cell r="GD92">
            <v>0</v>
          </cell>
          <cell r="GE92">
            <v>0</v>
          </cell>
          <cell r="GF92">
            <v>0</v>
          </cell>
          <cell r="GG92" t="str">
            <v>nd</v>
          </cell>
          <cell r="GH92">
            <v>0</v>
          </cell>
          <cell r="GI92">
            <v>0</v>
          </cell>
          <cell r="GJ92">
            <v>0</v>
          </cell>
          <cell r="GK92" t="str">
            <v>nd</v>
          </cell>
          <cell r="GL92">
            <v>0</v>
          </cell>
          <cell r="GM92">
            <v>0</v>
          </cell>
          <cell r="GN92" t="str">
            <v>nd</v>
          </cell>
          <cell r="GO92">
            <v>0</v>
          </cell>
          <cell r="GP92">
            <v>0</v>
          </cell>
          <cell r="GQ92">
            <v>15.540267699999999</v>
          </cell>
          <cell r="GR92">
            <v>0</v>
          </cell>
          <cell r="GS92">
            <v>0</v>
          </cell>
          <cell r="GT92">
            <v>0</v>
          </cell>
          <cell r="GU92" t="str">
            <v>nd</v>
          </cell>
          <cell r="GV92">
            <v>0</v>
          </cell>
          <cell r="GW92">
            <v>45.301243800000002</v>
          </cell>
          <cell r="GX92">
            <v>0</v>
          </cell>
          <cell r="GY92">
            <v>0</v>
          </cell>
          <cell r="GZ92">
            <v>0</v>
          </cell>
          <cell r="HA92">
            <v>0</v>
          </cell>
          <cell r="HB92">
            <v>0</v>
          </cell>
          <cell r="HC92" t="str">
            <v>nd</v>
          </cell>
          <cell r="HD92">
            <v>0</v>
          </cell>
          <cell r="HE92">
            <v>0</v>
          </cell>
          <cell r="HF92">
            <v>0</v>
          </cell>
          <cell r="HG92">
            <v>0</v>
          </cell>
          <cell r="HH92">
            <v>0</v>
          </cell>
          <cell r="HI92">
            <v>0</v>
          </cell>
          <cell r="HJ92">
            <v>0</v>
          </cell>
          <cell r="HK92">
            <v>0</v>
          </cell>
          <cell r="HL92">
            <v>0</v>
          </cell>
          <cell r="HM92" t="str">
            <v>nd</v>
          </cell>
          <cell r="HN92" t="str">
            <v>nd</v>
          </cell>
          <cell r="HO92">
            <v>0</v>
          </cell>
          <cell r="HP92">
            <v>0</v>
          </cell>
          <cell r="HQ92">
            <v>0</v>
          </cell>
          <cell r="HR92" t="str">
            <v>nd</v>
          </cell>
          <cell r="HS92" t="str">
            <v>nd</v>
          </cell>
          <cell r="HT92" t="str">
            <v>nd</v>
          </cell>
          <cell r="HU92">
            <v>0</v>
          </cell>
          <cell r="HV92">
            <v>0</v>
          </cell>
          <cell r="HW92">
            <v>0</v>
          </cell>
          <cell r="HX92">
            <v>0</v>
          </cell>
          <cell r="HY92">
            <v>12.698790800000001</v>
          </cell>
          <cell r="HZ92">
            <v>32.992939</v>
          </cell>
          <cell r="IA92">
            <v>0</v>
          </cell>
          <cell r="IB92">
            <v>0</v>
          </cell>
          <cell r="IC92">
            <v>0</v>
          </cell>
          <cell r="ID92">
            <v>0</v>
          </cell>
          <cell r="IE92">
            <v>0</v>
          </cell>
          <cell r="IF92" t="str">
            <v>nd</v>
          </cell>
          <cell r="IG92">
            <v>0</v>
          </cell>
          <cell r="IH92">
            <v>0</v>
          </cell>
          <cell r="II92">
            <v>0</v>
          </cell>
          <cell r="IJ92">
            <v>0</v>
          </cell>
          <cell r="IK92">
            <v>0</v>
          </cell>
          <cell r="IL92">
            <v>0</v>
          </cell>
          <cell r="IM92">
            <v>0</v>
          </cell>
          <cell r="IN92" t="str">
            <v>nd</v>
          </cell>
          <cell r="IO92">
            <v>0</v>
          </cell>
          <cell r="IP92">
            <v>0</v>
          </cell>
          <cell r="IQ92" t="str">
            <v>nd</v>
          </cell>
          <cell r="IR92">
            <v>0</v>
          </cell>
          <cell r="IS92">
            <v>0</v>
          </cell>
          <cell r="IT92">
            <v>0</v>
          </cell>
          <cell r="IU92" t="str">
            <v>nd</v>
          </cell>
          <cell r="IV92" t="str">
            <v>nd</v>
          </cell>
          <cell r="IW92" t="str">
            <v>nd</v>
          </cell>
          <cell r="IX92">
            <v>0</v>
          </cell>
          <cell r="IY92">
            <v>0</v>
          </cell>
          <cell r="IZ92">
            <v>0</v>
          </cell>
          <cell r="JA92" t="str">
            <v>nd</v>
          </cell>
          <cell r="JB92">
            <v>16.264509799999999</v>
          </cell>
          <cell r="JC92">
            <v>28.309863400000001</v>
          </cell>
          <cell r="JD92">
            <v>0</v>
          </cell>
          <cell r="JE92">
            <v>0</v>
          </cell>
          <cell r="JF92">
            <v>0</v>
          </cell>
          <cell r="JG92">
            <v>0</v>
          </cell>
          <cell r="JH92">
            <v>0</v>
          </cell>
          <cell r="JI92" t="str">
            <v>nd</v>
          </cell>
          <cell r="JJ92">
            <v>0</v>
          </cell>
          <cell r="JK92">
            <v>0</v>
          </cell>
          <cell r="JL92">
            <v>0</v>
          </cell>
          <cell r="JM92">
            <v>0</v>
          </cell>
          <cell r="JN92">
            <v>0</v>
          </cell>
          <cell r="JO92">
            <v>0</v>
          </cell>
          <cell r="JP92">
            <v>0</v>
          </cell>
          <cell r="JQ92">
            <v>0</v>
          </cell>
          <cell r="JR92">
            <v>0</v>
          </cell>
          <cell r="JS92">
            <v>0</v>
          </cell>
          <cell r="JT92">
            <v>25.866358900000002</v>
          </cell>
          <cell r="JU92">
            <v>0</v>
          </cell>
          <cell r="JV92">
            <v>0</v>
          </cell>
          <cell r="JW92">
            <v>0</v>
          </cell>
          <cell r="JX92">
            <v>0</v>
          </cell>
          <cell r="JY92">
            <v>0</v>
          </cell>
          <cell r="JZ92">
            <v>17.300051799999999</v>
          </cell>
          <cell r="KA92">
            <v>0</v>
          </cell>
          <cell r="KB92">
            <v>0</v>
          </cell>
          <cell r="KC92">
            <v>0</v>
          </cell>
          <cell r="KD92">
            <v>0</v>
          </cell>
          <cell r="KE92">
            <v>0</v>
          </cell>
          <cell r="KF92">
            <v>50.115260999999997</v>
          </cell>
          <cell r="KG92">
            <v>0</v>
          </cell>
          <cell r="KH92">
            <v>0</v>
          </cell>
          <cell r="KI92">
            <v>0</v>
          </cell>
          <cell r="KJ92">
            <v>0</v>
          </cell>
          <cell r="KK92">
            <v>0</v>
          </cell>
          <cell r="KL92" t="str">
            <v>nd</v>
          </cell>
          <cell r="KM92">
            <v>68.400000000000006</v>
          </cell>
          <cell r="KN92">
            <v>6.4</v>
          </cell>
          <cell r="KO92">
            <v>10.100000000000001</v>
          </cell>
          <cell r="KP92">
            <v>8.7999999999999989</v>
          </cell>
          <cell r="KQ92">
            <v>6.4</v>
          </cell>
          <cell r="KR92">
            <v>0</v>
          </cell>
          <cell r="KS92">
            <v>68.8</v>
          </cell>
          <cell r="KT92">
            <v>6.9</v>
          </cell>
          <cell r="KU92">
            <v>9.3000000000000007</v>
          </cell>
          <cell r="KV92">
            <v>8.7999999999999989</v>
          </cell>
          <cell r="KW92">
            <v>6.1</v>
          </cell>
          <cell r="KX92">
            <v>0</v>
          </cell>
          <cell r="KY92"/>
          <cell r="KZ92"/>
          <cell r="LA92"/>
          <cell r="LB92"/>
          <cell r="LC92"/>
          <cell r="LD92"/>
          <cell r="LE92"/>
          <cell r="LF92"/>
          <cell r="LG92"/>
          <cell r="LH92"/>
          <cell r="LI92"/>
          <cell r="LJ92"/>
          <cell r="LK92"/>
          <cell r="LL92"/>
          <cell r="LM92"/>
          <cell r="LN92"/>
          <cell r="LO92"/>
        </row>
        <row r="93">
          <cell r="A93" t="str">
            <v>2LZ</v>
          </cell>
          <cell r="B93" t="str">
            <v>93</v>
          </cell>
          <cell r="C93" t="str">
            <v>NAF 17</v>
          </cell>
          <cell r="D93" t="str">
            <v>LZ</v>
          </cell>
          <cell r="E93" t="str">
            <v>2</v>
          </cell>
          <cell r="F93" t="str">
            <v>nd</v>
          </cell>
          <cell r="G93">
            <v>0</v>
          </cell>
          <cell r="H93">
            <v>19.100000000000001</v>
          </cell>
          <cell r="I93">
            <v>58.199999999999996</v>
          </cell>
          <cell r="J93">
            <v>12.6</v>
          </cell>
          <cell r="K93">
            <v>84.1</v>
          </cell>
          <cell r="L93" t="str">
            <v>nd</v>
          </cell>
          <cell r="M93">
            <v>0</v>
          </cell>
          <cell r="N93">
            <v>0</v>
          </cell>
          <cell r="O93">
            <v>22.5</v>
          </cell>
          <cell r="P93">
            <v>49.3</v>
          </cell>
          <cell r="Q93" t="str">
            <v>nd</v>
          </cell>
          <cell r="R93" t="str">
            <v>nd</v>
          </cell>
          <cell r="S93" t="str">
            <v>nd</v>
          </cell>
          <cell r="T93">
            <v>11.200000000000001</v>
          </cell>
          <cell r="U93" t="str">
            <v>nd</v>
          </cell>
          <cell r="V93">
            <v>33.900000000000006</v>
          </cell>
          <cell r="W93" t="str">
            <v>nd</v>
          </cell>
          <cell r="X93">
            <v>88</v>
          </cell>
          <cell r="Y93" t="str">
            <v>nd</v>
          </cell>
          <cell r="Z93">
            <v>0</v>
          </cell>
          <cell r="AA93">
            <v>0</v>
          </cell>
          <cell r="AB93">
            <v>0</v>
          </cell>
          <cell r="AC93" t="str">
            <v>nd</v>
          </cell>
          <cell r="AD93" t="str">
            <v>nd</v>
          </cell>
          <cell r="AE93">
            <v>40.200000000000003</v>
          </cell>
          <cell r="AF93">
            <v>59.8</v>
          </cell>
          <cell r="AG93">
            <v>83.2</v>
          </cell>
          <cell r="AH93" t="str">
            <v>nd</v>
          </cell>
          <cell r="AI93">
            <v>32.1</v>
          </cell>
          <cell r="AJ93" t="str">
            <v>nd</v>
          </cell>
          <cell r="AK93">
            <v>0</v>
          </cell>
          <cell r="AL93">
            <v>29.9</v>
          </cell>
          <cell r="AM93" t="str">
            <v>nd</v>
          </cell>
          <cell r="AN93" t="str">
            <v>nd</v>
          </cell>
          <cell r="AO93">
            <v>0</v>
          </cell>
          <cell r="AP93">
            <v>0</v>
          </cell>
          <cell r="AQ93">
            <v>88.9</v>
          </cell>
          <cell r="AR93">
            <v>0</v>
          </cell>
          <cell r="AS93">
            <v>51.800000000000004</v>
          </cell>
          <cell r="AT93" t="str">
            <v>nd</v>
          </cell>
          <cell r="AU93" t="str">
            <v>nd</v>
          </cell>
          <cell r="AV93">
            <v>24.2</v>
          </cell>
          <cell r="AW93">
            <v>0</v>
          </cell>
          <cell r="AX93">
            <v>13.200000000000001</v>
          </cell>
          <cell r="AY93">
            <v>0</v>
          </cell>
          <cell r="AZ93">
            <v>25.8</v>
          </cell>
          <cell r="BA93" t="str">
            <v>nd</v>
          </cell>
          <cell r="BB93" t="str">
            <v>nd</v>
          </cell>
          <cell r="BC93">
            <v>30.599999999999998</v>
          </cell>
          <cell r="BD93">
            <v>34.799999999999997</v>
          </cell>
          <cell r="BE93">
            <v>0</v>
          </cell>
          <cell r="BF93" t="str">
            <v>nd</v>
          </cell>
          <cell r="BG93">
            <v>0</v>
          </cell>
          <cell r="BH93">
            <v>0</v>
          </cell>
          <cell r="BI93">
            <v>32.700000000000003</v>
          </cell>
          <cell r="BJ93">
            <v>61.199999999999996</v>
          </cell>
          <cell r="BK93">
            <v>0</v>
          </cell>
          <cell r="BL93">
            <v>0</v>
          </cell>
          <cell r="BM93">
            <v>0</v>
          </cell>
          <cell r="BN93">
            <v>0</v>
          </cell>
          <cell r="BO93">
            <v>71.399999999999991</v>
          </cell>
          <cell r="BP93">
            <v>28.599999999999998</v>
          </cell>
          <cell r="BQ93">
            <v>0</v>
          </cell>
          <cell r="BR93">
            <v>0</v>
          </cell>
          <cell r="BS93">
            <v>0</v>
          </cell>
          <cell r="BT93" t="str">
            <v>nd</v>
          </cell>
          <cell r="BU93">
            <v>48.6</v>
          </cell>
          <cell r="BV93">
            <v>38.299999999999997</v>
          </cell>
          <cell r="BW93">
            <v>0</v>
          </cell>
          <cell r="BX93">
            <v>0</v>
          </cell>
          <cell r="BY93">
            <v>0</v>
          </cell>
          <cell r="BZ93">
            <v>0</v>
          </cell>
          <cell r="CA93">
            <v>0</v>
          </cell>
          <cell r="CB93">
            <v>100</v>
          </cell>
          <cell r="CC93">
            <v>20</v>
          </cell>
          <cell r="CD93" t="str">
            <v>nd</v>
          </cell>
          <cell r="CE93">
            <v>0</v>
          </cell>
          <cell r="CF93">
            <v>0</v>
          </cell>
          <cell r="CG93">
            <v>0</v>
          </cell>
          <cell r="CH93">
            <v>30.3</v>
          </cell>
          <cell r="CI93">
            <v>12.5</v>
          </cell>
          <cell r="CJ93">
            <v>55.800000000000004</v>
          </cell>
          <cell r="CK93">
            <v>12.7</v>
          </cell>
          <cell r="CL93" t="str">
            <v>nd</v>
          </cell>
          <cell r="CM93">
            <v>0</v>
          </cell>
          <cell r="CN93">
            <v>0</v>
          </cell>
          <cell r="CO93">
            <v>84.3</v>
          </cell>
          <cell r="CP93">
            <v>20.5</v>
          </cell>
          <cell r="CQ93">
            <v>41.199999999999996</v>
          </cell>
          <cell r="CR93">
            <v>0</v>
          </cell>
          <cell r="CS93">
            <v>38.4</v>
          </cell>
          <cell r="CT93">
            <v>27.3</v>
          </cell>
          <cell r="CU93">
            <v>72.7</v>
          </cell>
          <cell r="CV93">
            <v>33.900000000000006</v>
          </cell>
          <cell r="CW93">
            <v>66.100000000000009</v>
          </cell>
          <cell r="CX93">
            <v>11.700000000000001</v>
          </cell>
          <cell r="CY93">
            <v>29.099999999999998</v>
          </cell>
          <cell r="CZ93">
            <v>59.199999999999996</v>
          </cell>
          <cell r="DA93">
            <v>0</v>
          </cell>
          <cell r="DB93" t="str">
            <v>nd</v>
          </cell>
          <cell r="DC93" t="str">
            <v>nd</v>
          </cell>
          <cell r="DD93">
            <v>0</v>
          </cell>
          <cell r="DE93" t="str">
            <v>nd</v>
          </cell>
          <cell r="DF93">
            <v>22.6</v>
          </cell>
          <cell r="DG93">
            <v>7.9</v>
          </cell>
          <cell r="DH93">
            <v>17</v>
          </cell>
          <cell r="DI93">
            <v>16.600000000000001</v>
          </cell>
          <cell r="DJ93">
            <v>14.000000000000002</v>
          </cell>
          <cell r="DK93">
            <v>21.8</v>
          </cell>
          <cell r="DL93">
            <v>20.5</v>
          </cell>
          <cell r="DM93">
            <v>28.199999999999996</v>
          </cell>
          <cell r="DN93">
            <v>7.1999999999999993</v>
          </cell>
          <cell r="DO93">
            <v>30.099999999999998</v>
          </cell>
          <cell r="DP93">
            <v>13</v>
          </cell>
          <cell r="DQ93">
            <v>0</v>
          </cell>
          <cell r="DR93" t="str">
            <v>nd</v>
          </cell>
          <cell r="DS93">
            <v>18.399999999999999</v>
          </cell>
          <cell r="DT93">
            <v>23.7</v>
          </cell>
          <cell r="DU93">
            <v>0</v>
          </cell>
          <cell r="DV93">
            <v>0</v>
          </cell>
          <cell r="DW93">
            <v>0</v>
          </cell>
          <cell r="DX93" t="str">
            <v>nd</v>
          </cell>
          <cell r="DY93" t="str">
            <v>nd</v>
          </cell>
          <cell r="DZ93">
            <v>0</v>
          </cell>
          <cell r="EA93">
            <v>0</v>
          </cell>
          <cell r="EB93">
            <v>0</v>
          </cell>
          <cell r="EC93">
            <v>0</v>
          </cell>
          <cell r="ED93">
            <v>0</v>
          </cell>
          <cell r="EE93">
            <v>0</v>
          </cell>
          <cell r="EF93" t="str">
            <v>nd</v>
          </cell>
          <cell r="EG93">
            <v>0</v>
          </cell>
          <cell r="EH93" t="str">
            <v>nd</v>
          </cell>
          <cell r="EI93">
            <v>14.659837400000001</v>
          </cell>
          <cell r="EJ93">
            <v>0</v>
          </cell>
          <cell r="EK93">
            <v>0</v>
          </cell>
          <cell r="EL93">
            <v>36.626412200000004</v>
          </cell>
          <cell r="EM93" t="str">
            <v>nd</v>
          </cell>
          <cell r="EN93" t="str">
            <v>nd</v>
          </cell>
          <cell r="EO93" t="str">
            <v>nd</v>
          </cell>
          <cell r="EP93">
            <v>0</v>
          </cell>
          <cell r="EQ93">
            <v>9.3519737000000003</v>
          </cell>
          <cell r="ER93">
            <v>12.556561199999999</v>
          </cell>
          <cell r="ES93">
            <v>0</v>
          </cell>
          <cell r="ET93">
            <v>0</v>
          </cell>
          <cell r="EU93">
            <v>0</v>
          </cell>
          <cell r="EV93">
            <v>0</v>
          </cell>
          <cell r="EW93">
            <v>0</v>
          </cell>
          <cell r="EX93">
            <v>0</v>
          </cell>
          <cell r="EY93">
            <v>0</v>
          </cell>
          <cell r="EZ93">
            <v>0</v>
          </cell>
          <cell r="FA93">
            <v>0</v>
          </cell>
          <cell r="FB93" t="str">
            <v>nd</v>
          </cell>
          <cell r="FC93">
            <v>0</v>
          </cell>
          <cell r="FD93">
            <v>0</v>
          </cell>
          <cell r="FE93">
            <v>0</v>
          </cell>
          <cell r="FF93">
            <v>0</v>
          </cell>
          <cell r="FG93">
            <v>0</v>
          </cell>
          <cell r="FH93">
            <v>0</v>
          </cell>
          <cell r="FI93">
            <v>0</v>
          </cell>
          <cell r="FJ93">
            <v>15.4109528</v>
          </cell>
          <cell r="FK93" t="str">
            <v>nd</v>
          </cell>
          <cell r="FL93">
            <v>0</v>
          </cell>
          <cell r="FM93">
            <v>0</v>
          </cell>
          <cell r="FN93" t="str">
            <v>nd</v>
          </cell>
          <cell r="FO93">
            <v>0</v>
          </cell>
          <cell r="FP93">
            <v>10.3626632</v>
          </cell>
          <cell r="FQ93" t="str">
            <v>nd</v>
          </cell>
          <cell r="FR93" t="str">
            <v>nd</v>
          </cell>
          <cell r="FS93">
            <v>30.598295599999997</v>
          </cell>
          <cell r="FT93">
            <v>9.3619921000000001</v>
          </cell>
          <cell r="FU93">
            <v>0</v>
          </cell>
          <cell r="FV93">
            <v>0</v>
          </cell>
          <cell r="FW93">
            <v>0</v>
          </cell>
          <cell r="FX93">
            <v>0</v>
          </cell>
          <cell r="FY93">
            <v>0</v>
          </cell>
          <cell r="FZ93">
            <v>12.450636599999999</v>
          </cell>
          <cell r="GA93">
            <v>0</v>
          </cell>
          <cell r="GB93">
            <v>0</v>
          </cell>
          <cell r="GC93">
            <v>0</v>
          </cell>
          <cell r="GD93">
            <v>0</v>
          </cell>
          <cell r="GE93" t="str">
            <v>nd</v>
          </cell>
          <cell r="GF93">
            <v>0</v>
          </cell>
          <cell r="GG93">
            <v>0</v>
          </cell>
          <cell r="GH93">
            <v>0</v>
          </cell>
          <cell r="GI93">
            <v>0</v>
          </cell>
          <cell r="GJ93">
            <v>0</v>
          </cell>
          <cell r="GK93">
            <v>0</v>
          </cell>
          <cell r="GL93">
            <v>0</v>
          </cell>
          <cell r="GM93">
            <v>0</v>
          </cell>
          <cell r="GN93">
            <v>0</v>
          </cell>
          <cell r="GO93">
            <v>0</v>
          </cell>
          <cell r="GP93">
            <v>17.760024999999999</v>
          </cell>
          <cell r="GQ93" t="str">
            <v>nd</v>
          </cell>
          <cell r="GR93">
            <v>0</v>
          </cell>
          <cell r="GS93">
            <v>0</v>
          </cell>
          <cell r="GT93">
            <v>0</v>
          </cell>
          <cell r="GU93">
            <v>0</v>
          </cell>
          <cell r="GV93">
            <v>11.3201322</v>
          </cell>
          <cell r="GW93">
            <v>45.599837999999998</v>
          </cell>
          <cell r="GX93">
            <v>0</v>
          </cell>
          <cell r="GY93">
            <v>0</v>
          </cell>
          <cell r="GZ93">
            <v>0</v>
          </cell>
          <cell r="HA93">
            <v>0</v>
          </cell>
          <cell r="HB93" t="str">
            <v>nd</v>
          </cell>
          <cell r="HC93" t="str">
            <v>nd</v>
          </cell>
          <cell r="HD93">
            <v>0</v>
          </cell>
          <cell r="HE93" t="str">
            <v>nd</v>
          </cell>
          <cell r="HF93">
            <v>0</v>
          </cell>
          <cell r="HG93">
            <v>0</v>
          </cell>
          <cell r="HH93" t="str">
            <v>nd</v>
          </cell>
          <cell r="HI93">
            <v>0</v>
          </cell>
          <cell r="HJ93">
            <v>0</v>
          </cell>
          <cell r="HK93">
            <v>0</v>
          </cell>
          <cell r="HL93">
            <v>0</v>
          </cell>
          <cell r="HM93">
            <v>0</v>
          </cell>
          <cell r="HN93">
            <v>0</v>
          </cell>
          <cell r="HO93">
            <v>0</v>
          </cell>
          <cell r="HP93">
            <v>0</v>
          </cell>
          <cell r="HQ93">
            <v>0</v>
          </cell>
          <cell r="HR93">
            <v>0</v>
          </cell>
          <cell r="HS93">
            <v>21.590893699999999</v>
          </cell>
          <cell r="HT93">
            <v>0</v>
          </cell>
          <cell r="HU93">
            <v>0</v>
          </cell>
          <cell r="HV93">
            <v>0</v>
          </cell>
          <cell r="HW93">
            <v>0</v>
          </cell>
          <cell r="HX93">
            <v>0</v>
          </cell>
          <cell r="HY93">
            <v>36.985571299999997</v>
          </cell>
          <cell r="HZ93">
            <v>19.442228100000001</v>
          </cell>
          <cell r="IA93">
            <v>0</v>
          </cell>
          <cell r="IB93">
            <v>0</v>
          </cell>
          <cell r="IC93">
            <v>0</v>
          </cell>
          <cell r="ID93">
            <v>0</v>
          </cell>
          <cell r="IE93" t="str">
            <v>nd</v>
          </cell>
          <cell r="IF93" t="str">
            <v>nd</v>
          </cell>
          <cell r="IG93">
            <v>0</v>
          </cell>
          <cell r="IH93">
            <v>0</v>
          </cell>
          <cell r="II93">
            <v>0</v>
          </cell>
          <cell r="IJ93" t="str">
            <v>nd</v>
          </cell>
          <cell r="IK93" t="str">
            <v>nd</v>
          </cell>
          <cell r="IL93">
            <v>0</v>
          </cell>
          <cell r="IM93">
            <v>0</v>
          </cell>
          <cell r="IN93">
            <v>0</v>
          </cell>
          <cell r="IO93">
            <v>0</v>
          </cell>
          <cell r="IP93">
            <v>0</v>
          </cell>
          <cell r="IQ93">
            <v>0</v>
          </cell>
          <cell r="IR93">
            <v>0</v>
          </cell>
          <cell r="IS93">
            <v>0</v>
          </cell>
          <cell r="IT93">
            <v>0</v>
          </cell>
          <cell r="IU93">
            <v>0</v>
          </cell>
          <cell r="IV93">
            <v>18.866041299999999</v>
          </cell>
          <cell r="IW93" t="str">
            <v>nd</v>
          </cell>
          <cell r="IX93">
            <v>0</v>
          </cell>
          <cell r="IY93">
            <v>0</v>
          </cell>
          <cell r="IZ93">
            <v>0</v>
          </cell>
          <cell r="JA93">
            <v>0</v>
          </cell>
          <cell r="JB93">
            <v>29.724964399999998</v>
          </cell>
          <cell r="JC93">
            <v>27.132849599999997</v>
          </cell>
          <cell r="JD93">
            <v>0</v>
          </cell>
          <cell r="JE93">
            <v>0</v>
          </cell>
          <cell r="JF93">
            <v>0</v>
          </cell>
          <cell r="JG93" t="str">
            <v>nd</v>
          </cell>
          <cell r="JH93">
            <v>0</v>
          </cell>
          <cell r="JI93" t="str">
            <v>nd</v>
          </cell>
          <cell r="JJ93">
            <v>0</v>
          </cell>
          <cell r="JK93">
            <v>0</v>
          </cell>
          <cell r="JL93">
            <v>0</v>
          </cell>
          <cell r="JM93">
            <v>0</v>
          </cell>
          <cell r="JN93" t="str">
            <v>nd</v>
          </cell>
          <cell r="JO93">
            <v>0</v>
          </cell>
          <cell r="JP93">
            <v>0</v>
          </cell>
          <cell r="JQ93">
            <v>0</v>
          </cell>
          <cell r="JR93">
            <v>0</v>
          </cell>
          <cell r="JS93">
            <v>0</v>
          </cell>
          <cell r="JT93">
            <v>0</v>
          </cell>
          <cell r="JU93">
            <v>0</v>
          </cell>
          <cell r="JV93">
            <v>0</v>
          </cell>
          <cell r="JW93">
            <v>0</v>
          </cell>
          <cell r="JX93">
            <v>0</v>
          </cell>
          <cell r="JY93">
            <v>0</v>
          </cell>
          <cell r="JZ93">
            <v>20.8750766</v>
          </cell>
          <cell r="KA93">
            <v>0</v>
          </cell>
          <cell r="KB93">
            <v>0</v>
          </cell>
          <cell r="KC93">
            <v>0</v>
          </cell>
          <cell r="KD93">
            <v>0</v>
          </cell>
          <cell r="KE93">
            <v>0</v>
          </cell>
          <cell r="KF93">
            <v>56.784480599999995</v>
          </cell>
          <cell r="KG93">
            <v>0</v>
          </cell>
          <cell r="KH93">
            <v>0</v>
          </cell>
          <cell r="KI93">
            <v>0</v>
          </cell>
          <cell r="KJ93">
            <v>0</v>
          </cell>
          <cell r="KK93">
            <v>0</v>
          </cell>
          <cell r="KL93">
            <v>12.1981982</v>
          </cell>
          <cell r="KM93">
            <v>57.199999999999996</v>
          </cell>
          <cell r="KN93">
            <v>22.3</v>
          </cell>
          <cell r="KO93">
            <v>5.3</v>
          </cell>
          <cell r="KP93">
            <v>7.1999999999999993</v>
          </cell>
          <cell r="KQ93">
            <v>7.9</v>
          </cell>
          <cell r="KR93">
            <v>0</v>
          </cell>
          <cell r="KS93">
            <v>58.199999999999996</v>
          </cell>
          <cell r="KT93">
            <v>21.4</v>
          </cell>
          <cell r="KU93">
            <v>4.7</v>
          </cell>
          <cell r="KV93">
            <v>7.1</v>
          </cell>
          <cell r="KW93">
            <v>8.6</v>
          </cell>
          <cell r="KX93">
            <v>0</v>
          </cell>
          <cell r="KY93"/>
          <cell r="KZ93"/>
          <cell r="LA93"/>
          <cell r="LB93"/>
          <cell r="LC93"/>
          <cell r="LD93"/>
          <cell r="LE93"/>
          <cell r="LF93"/>
          <cell r="LG93"/>
          <cell r="LH93"/>
          <cell r="LI93"/>
          <cell r="LJ93"/>
          <cell r="LK93"/>
          <cell r="LL93"/>
          <cell r="LM93"/>
          <cell r="LN93"/>
          <cell r="LO93"/>
        </row>
        <row r="94">
          <cell r="A94" t="str">
            <v>3LZ</v>
          </cell>
          <cell r="B94" t="str">
            <v>94</v>
          </cell>
          <cell r="C94" t="str">
            <v>NAF 17</v>
          </cell>
          <cell r="D94" t="str">
            <v>LZ</v>
          </cell>
          <cell r="E94" t="str">
            <v>3</v>
          </cell>
          <cell r="F94">
            <v>0</v>
          </cell>
          <cell r="G94" t="str">
            <v>nd</v>
          </cell>
          <cell r="H94">
            <v>37.200000000000003</v>
          </cell>
          <cell r="I94">
            <v>55.900000000000006</v>
          </cell>
          <cell r="J94" t="str">
            <v>nd</v>
          </cell>
          <cell r="K94">
            <v>68.899999999999991</v>
          </cell>
          <cell r="L94" t="str">
            <v>nd</v>
          </cell>
          <cell r="M94" t="str">
            <v>nd</v>
          </cell>
          <cell r="N94" t="str">
            <v>nd</v>
          </cell>
          <cell r="O94">
            <v>21.7</v>
          </cell>
          <cell r="P94">
            <v>51.6</v>
          </cell>
          <cell r="Q94">
            <v>12.6</v>
          </cell>
          <cell r="R94" t="str">
            <v>nd</v>
          </cell>
          <cell r="S94">
            <v>13.200000000000001</v>
          </cell>
          <cell r="T94">
            <v>10.100000000000001</v>
          </cell>
          <cell r="U94">
            <v>10.5</v>
          </cell>
          <cell r="V94">
            <v>14.000000000000002</v>
          </cell>
          <cell r="W94">
            <v>9.3000000000000007</v>
          </cell>
          <cell r="X94">
            <v>81.3</v>
          </cell>
          <cell r="Y94">
            <v>9.3000000000000007</v>
          </cell>
          <cell r="Z94">
            <v>0</v>
          </cell>
          <cell r="AA94">
            <v>0</v>
          </cell>
          <cell r="AB94">
            <v>0</v>
          </cell>
          <cell r="AC94" t="str">
            <v>nd</v>
          </cell>
          <cell r="AD94" t="str">
            <v>nd</v>
          </cell>
          <cell r="AE94">
            <v>47.099999999999994</v>
          </cell>
          <cell r="AF94">
            <v>52.900000000000006</v>
          </cell>
          <cell r="AG94">
            <v>100</v>
          </cell>
          <cell r="AH94">
            <v>0</v>
          </cell>
          <cell r="AI94" t="str">
            <v>nd</v>
          </cell>
          <cell r="AJ94" t="str">
            <v>nd</v>
          </cell>
          <cell r="AK94">
            <v>0</v>
          </cell>
          <cell r="AL94">
            <v>43.8</v>
          </cell>
          <cell r="AM94" t="str">
            <v>nd</v>
          </cell>
          <cell r="AN94" t="str">
            <v>nd</v>
          </cell>
          <cell r="AO94">
            <v>0</v>
          </cell>
          <cell r="AP94" t="str">
            <v>nd</v>
          </cell>
          <cell r="AQ94">
            <v>83.8</v>
          </cell>
          <cell r="AR94" t="str">
            <v>nd</v>
          </cell>
          <cell r="AS94">
            <v>45.800000000000004</v>
          </cell>
          <cell r="AT94">
            <v>11.3</v>
          </cell>
          <cell r="AU94" t="str">
            <v>nd</v>
          </cell>
          <cell r="AV94">
            <v>27.800000000000004</v>
          </cell>
          <cell r="AW94" t="str">
            <v>nd</v>
          </cell>
          <cell r="AX94" t="str">
            <v>nd</v>
          </cell>
          <cell r="AY94">
            <v>0</v>
          </cell>
          <cell r="AZ94">
            <v>32.9</v>
          </cell>
          <cell r="BA94">
            <v>11.200000000000001</v>
          </cell>
          <cell r="BB94">
            <v>10.100000000000001</v>
          </cell>
          <cell r="BC94">
            <v>24.2</v>
          </cell>
          <cell r="BD94">
            <v>21.5</v>
          </cell>
          <cell r="BE94">
            <v>0</v>
          </cell>
          <cell r="BF94">
            <v>0</v>
          </cell>
          <cell r="BG94">
            <v>0</v>
          </cell>
          <cell r="BH94">
            <v>0</v>
          </cell>
          <cell r="BI94">
            <v>39.1</v>
          </cell>
          <cell r="BJ94">
            <v>60.9</v>
          </cell>
          <cell r="BK94">
            <v>0</v>
          </cell>
          <cell r="BL94">
            <v>0</v>
          </cell>
          <cell r="BM94">
            <v>0</v>
          </cell>
          <cell r="BN94" t="str">
            <v>nd</v>
          </cell>
          <cell r="BO94">
            <v>77.100000000000009</v>
          </cell>
          <cell r="BP94">
            <v>21.6</v>
          </cell>
          <cell r="BQ94">
            <v>0</v>
          </cell>
          <cell r="BR94">
            <v>0</v>
          </cell>
          <cell r="BS94">
            <v>0</v>
          </cell>
          <cell r="BT94">
            <v>9.4</v>
          </cell>
          <cell r="BU94">
            <v>77.3</v>
          </cell>
          <cell r="BV94">
            <v>13.4</v>
          </cell>
          <cell r="BW94">
            <v>0</v>
          </cell>
          <cell r="BX94">
            <v>0</v>
          </cell>
          <cell r="BY94">
            <v>0</v>
          </cell>
          <cell r="BZ94">
            <v>0</v>
          </cell>
          <cell r="CA94" t="str">
            <v>nd</v>
          </cell>
          <cell r="CB94">
            <v>98.6</v>
          </cell>
          <cell r="CC94">
            <v>23.200000000000003</v>
          </cell>
          <cell r="CD94">
            <v>12.2</v>
          </cell>
          <cell r="CE94">
            <v>0</v>
          </cell>
          <cell r="CF94">
            <v>0</v>
          </cell>
          <cell r="CG94">
            <v>0</v>
          </cell>
          <cell r="CH94">
            <v>14.6</v>
          </cell>
          <cell r="CI94">
            <v>17.399999999999999</v>
          </cell>
          <cell r="CJ94">
            <v>61.5</v>
          </cell>
          <cell r="CK94">
            <v>40.5</v>
          </cell>
          <cell r="CL94" t="str">
            <v>nd</v>
          </cell>
          <cell r="CM94">
            <v>9.8000000000000007</v>
          </cell>
          <cell r="CN94" t="str">
            <v>nd</v>
          </cell>
          <cell r="CO94">
            <v>57.499999999999993</v>
          </cell>
          <cell r="CP94">
            <v>17.299999999999997</v>
          </cell>
          <cell r="CQ94">
            <v>29.099999999999998</v>
          </cell>
          <cell r="CR94">
            <v>12</v>
          </cell>
          <cell r="CS94">
            <v>41.6</v>
          </cell>
          <cell r="CT94">
            <v>29.599999999999998</v>
          </cell>
          <cell r="CU94">
            <v>70.399999999999991</v>
          </cell>
          <cell r="CV94">
            <v>39.700000000000003</v>
          </cell>
          <cell r="CW94">
            <v>60.3</v>
          </cell>
          <cell r="CX94">
            <v>23.400000000000002</v>
          </cell>
          <cell r="CY94">
            <v>28.1</v>
          </cell>
          <cell r="CZ94">
            <v>48.6</v>
          </cell>
          <cell r="DA94">
            <v>53.2</v>
          </cell>
          <cell r="DB94">
            <v>0</v>
          </cell>
          <cell r="DC94" t="str">
            <v>nd</v>
          </cell>
          <cell r="DD94">
            <v>0</v>
          </cell>
          <cell r="DE94">
            <v>68.8</v>
          </cell>
          <cell r="DF94">
            <v>19.2</v>
          </cell>
          <cell r="DG94">
            <v>12</v>
          </cell>
          <cell r="DH94">
            <v>18.399999999999999</v>
          </cell>
          <cell r="DI94">
            <v>26.5</v>
          </cell>
          <cell r="DJ94">
            <v>11.3</v>
          </cell>
          <cell r="DK94">
            <v>12.6</v>
          </cell>
          <cell r="DL94">
            <v>19.8</v>
          </cell>
          <cell r="DM94">
            <v>39.200000000000003</v>
          </cell>
          <cell r="DN94" t="str">
            <v>nd</v>
          </cell>
          <cell r="DO94">
            <v>20.599999999999998</v>
          </cell>
          <cell r="DP94" t="str">
            <v>nd</v>
          </cell>
          <cell r="DQ94">
            <v>0</v>
          </cell>
          <cell r="DR94" t="str">
            <v>nd</v>
          </cell>
          <cell r="DS94">
            <v>18.3</v>
          </cell>
          <cell r="DT94">
            <v>12.9</v>
          </cell>
          <cell r="DU94">
            <v>0</v>
          </cell>
          <cell r="DV94">
            <v>0</v>
          </cell>
          <cell r="DW94">
            <v>0</v>
          </cell>
          <cell r="DX94">
            <v>0</v>
          </cell>
          <cell r="DY94">
            <v>0</v>
          </cell>
          <cell r="DZ94">
            <v>0</v>
          </cell>
          <cell r="EA94">
            <v>0</v>
          </cell>
          <cell r="EB94">
            <v>0</v>
          </cell>
          <cell r="EC94">
            <v>0</v>
          </cell>
          <cell r="ED94">
            <v>0</v>
          </cell>
          <cell r="EE94" t="str">
            <v>nd</v>
          </cell>
          <cell r="EF94">
            <v>7.8703604999999994</v>
          </cell>
          <cell r="EG94" t="str">
            <v>nd</v>
          </cell>
          <cell r="EH94">
            <v>0</v>
          </cell>
          <cell r="EI94">
            <v>25.836629300000002</v>
          </cell>
          <cell r="EJ94" t="str">
            <v>nd</v>
          </cell>
          <cell r="EK94">
            <v>0</v>
          </cell>
          <cell r="EL94">
            <v>35.486286700000001</v>
          </cell>
          <cell r="EM94">
            <v>7.5026428000000003</v>
          </cell>
          <cell r="EN94" t="str">
            <v>nd</v>
          </cell>
          <cell r="EO94" t="str">
            <v>nd</v>
          </cell>
          <cell r="EP94">
            <v>0</v>
          </cell>
          <cell r="EQ94" t="str">
            <v>nd</v>
          </cell>
          <cell r="ER94" t="str">
            <v>nd</v>
          </cell>
          <cell r="ES94" t="str">
            <v>nd</v>
          </cell>
          <cell r="ET94">
            <v>0</v>
          </cell>
          <cell r="EU94">
            <v>0</v>
          </cell>
          <cell r="EV94">
            <v>0</v>
          </cell>
          <cell r="EW94">
            <v>0</v>
          </cell>
          <cell r="EX94">
            <v>0</v>
          </cell>
          <cell r="EY94">
            <v>0</v>
          </cell>
          <cell r="EZ94">
            <v>0</v>
          </cell>
          <cell r="FA94">
            <v>0</v>
          </cell>
          <cell r="FB94">
            <v>0</v>
          </cell>
          <cell r="FC94">
            <v>0</v>
          </cell>
          <cell r="FD94">
            <v>0</v>
          </cell>
          <cell r="FE94">
            <v>0</v>
          </cell>
          <cell r="FF94">
            <v>0</v>
          </cell>
          <cell r="FG94">
            <v>0</v>
          </cell>
          <cell r="FH94" t="str">
            <v>nd</v>
          </cell>
          <cell r="FI94">
            <v>0</v>
          </cell>
          <cell r="FJ94">
            <v>28.761266299999999</v>
          </cell>
          <cell r="FK94" t="str">
            <v>nd</v>
          </cell>
          <cell r="FL94" t="str">
            <v>nd</v>
          </cell>
          <cell r="FM94" t="str">
            <v>nd</v>
          </cell>
          <cell r="FN94" t="str">
            <v>nd</v>
          </cell>
          <cell r="FO94">
            <v>0</v>
          </cell>
          <cell r="FP94" t="str">
            <v>nd</v>
          </cell>
          <cell r="FQ94">
            <v>9.1843198000000008</v>
          </cell>
          <cell r="FR94">
            <v>6.4672855</v>
          </cell>
          <cell r="FS94">
            <v>16.947716800000002</v>
          </cell>
          <cell r="FT94">
            <v>15.270384</v>
          </cell>
          <cell r="FU94">
            <v>0</v>
          </cell>
          <cell r="FV94">
            <v>0</v>
          </cell>
          <cell r="FW94">
            <v>0</v>
          </cell>
          <cell r="FX94" t="str">
            <v>nd</v>
          </cell>
          <cell r="FY94" t="str">
            <v>nd</v>
          </cell>
          <cell r="FZ94">
            <v>0</v>
          </cell>
          <cell r="GA94">
            <v>0</v>
          </cell>
          <cell r="GB94">
            <v>0</v>
          </cell>
          <cell r="GC94">
            <v>0</v>
          </cell>
          <cell r="GD94">
            <v>0</v>
          </cell>
          <cell r="GE94">
            <v>0</v>
          </cell>
          <cell r="GF94">
            <v>0</v>
          </cell>
          <cell r="GG94">
            <v>0</v>
          </cell>
          <cell r="GH94">
            <v>0</v>
          </cell>
          <cell r="GI94">
            <v>0</v>
          </cell>
          <cell r="GJ94">
            <v>0</v>
          </cell>
          <cell r="GK94" t="str">
            <v>nd</v>
          </cell>
          <cell r="GL94">
            <v>0</v>
          </cell>
          <cell r="GM94">
            <v>0</v>
          </cell>
          <cell r="GN94">
            <v>0</v>
          </cell>
          <cell r="GO94">
            <v>0</v>
          </cell>
          <cell r="GP94">
            <v>30.205560599999998</v>
          </cell>
          <cell r="GQ94">
            <v>12.0302472</v>
          </cell>
          <cell r="GR94">
            <v>0</v>
          </cell>
          <cell r="GS94">
            <v>0</v>
          </cell>
          <cell r="GT94">
            <v>0</v>
          </cell>
          <cell r="GU94">
            <v>0</v>
          </cell>
          <cell r="GV94">
            <v>8.8727528000000007</v>
          </cell>
          <cell r="GW94">
            <v>41.1216455</v>
          </cell>
          <cell r="GX94">
            <v>0</v>
          </cell>
          <cell r="GY94">
            <v>0</v>
          </cell>
          <cell r="GZ94">
            <v>0</v>
          </cell>
          <cell r="HA94">
            <v>0</v>
          </cell>
          <cell r="HB94">
            <v>0</v>
          </cell>
          <cell r="HC94" t="str">
            <v>nd</v>
          </cell>
          <cell r="HD94">
            <v>0</v>
          </cell>
          <cell r="HE94">
            <v>0</v>
          </cell>
          <cell r="HF94">
            <v>0</v>
          </cell>
          <cell r="HG94">
            <v>0</v>
          </cell>
          <cell r="HH94">
            <v>0</v>
          </cell>
          <cell r="HI94">
            <v>0</v>
          </cell>
          <cell r="HJ94">
            <v>0</v>
          </cell>
          <cell r="HK94">
            <v>0</v>
          </cell>
          <cell r="HL94">
            <v>0</v>
          </cell>
          <cell r="HM94">
            <v>0</v>
          </cell>
          <cell r="HN94" t="str">
            <v>nd</v>
          </cell>
          <cell r="HO94">
            <v>0</v>
          </cell>
          <cell r="HP94">
            <v>0</v>
          </cell>
          <cell r="HQ94">
            <v>0</v>
          </cell>
          <cell r="HR94">
            <v>0</v>
          </cell>
          <cell r="HS94">
            <v>38.126983299999999</v>
          </cell>
          <cell r="HT94" t="str">
            <v>nd</v>
          </cell>
          <cell r="HU94">
            <v>0</v>
          </cell>
          <cell r="HV94">
            <v>0</v>
          </cell>
          <cell r="HW94">
            <v>0</v>
          </cell>
          <cell r="HX94" t="str">
            <v>nd</v>
          </cell>
          <cell r="HY94">
            <v>35.2430497</v>
          </cell>
          <cell r="HZ94">
            <v>16.018880599999999</v>
          </cell>
          <cell r="IA94">
            <v>0</v>
          </cell>
          <cell r="IB94">
            <v>0</v>
          </cell>
          <cell r="IC94">
            <v>0</v>
          </cell>
          <cell r="ID94">
            <v>0</v>
          </cell>
          <cell r="IE94" t="str">
            <v>nd</v>
          </cell>
          <cell r="IF94">
            <v>0</v>
          </cell>
          <cell r="IG94">
            <v>0</v>
          </cell>
          <cell r="IH94">
            <v>0</v>
          </cell>
          <cell r="II94">
            <v>0</v>
          </cell>
          <cell r="IJ94">
            <v>0</v>
          </cell>
          <cell r="IK94">
            <v>0</v>
          </cell>
          <cell r="IL94">
            <v>0</v>
          </cell>
          <cell r="IM94">
            <v>0</v>
          </cell>
          <cell r="IN94">
            <v>0</v>
          </cell>
          <cell r="IO94">
            <v>0</v>
          </cell>
          <cell r="IP94">
            <v>0</v>
          </cell>
          <cell r="IQ94" t="str">
            <v>nd</v>
          </cell>
          <cell r="IR94">
            <v>0</v>
          </cell>
          <cell r="IS94">
            <v>0</v>
          </cell>
          <cell r="IT94">
            <v>0</v>
          </cell>
          <cell r="IU94" t="str">
            <v>nd</v>
          </cell>
          <cell r="IV94">
            <v>31.388928300000003</v>
          </cell>
          <cell r="IW94" t="str">
            <v>nd</v>
          </cell>
          <cell r="IX94">
            <v>0</v>
          </cell>
          <cell r="IY94">
            <v>0</v>
          </cell>
          <cell r="IZ94">
            <v>0</v>
          </cell>
          <cell r="JA94" t="str">
            <v>nd</v>
          </cell>
          <cell r="JB94">
            <v>42.142932700000003</v>
          </cell>
          <cell r="JC94">
            <v>5.6528599999999996</v>
          </cell>
          <cell r="JD94">
            <v>0</v>
          </cell>
          <cell r="JE94">
            <v>0</v>
          </cell>
          <cell r="JF94">
            <v>0</v>
          </cell>
          <cell r="JG94">
            <v>0</v>
          </cell>
          <cell r="JH94" t="str">
            <v>nd</v>
          </cell>
          <cell r="JI94">
            <v>0</v>
          </cell>
          <cell r="JJ94">
            <v>0</v>
          </cell>
          <cell r="JK94">
            <v>0</v>
          </cell>
          <cell r="JL94">
            <v>0</v>
          </cell>
          <cell r="JM94">
            <v>0</v>
          </cell>
          <cell r="JN94">
            <v>0</v>
          </cell>
          <cell r="JO94">
            <v>0</v>
          </cell>
          <cell r="JP94">
            <v>0</v>
          </cell>
          <cell r="JQ94">
            <v>0</v>
          </cell>
          <cell r="JR94">
            <v>0</v>
          </cell>
          <cell r="JS94">
            <v>0</v>
          </cell>
          <cell r="JT94" t="str">
            <v>nd</v>
          </cell>
          <cell r="JU94">
            <v>0</v>
          </cell>
          <cell r="JV94">
            <v>0</v>
          </cell>
          <cell r="JW94">
            <v>0</v>
          </cell>
          <cell r="JX94">
            <v>0</v>
          </cell>
          <cell r="JY94">
            <v>0</v>
          </cell>
          <cell r="JZ94">
            <v>42.809761899999998</v>
          </cell>
          <cell r="KA94">
            <v>0</v>
          </cell>
          <cell r="KB94">
            <v>0</v>
          </cell>
          <cell r="KC94">
            <v>0</v>
          </cell>
          <cell r="KD94">
            <v>0</v>
          </cell>
          <cell r="KE94" t="str">
            <v>nd</v>
          </cell>
          <cell r="KF94">
            <v>47.914937000000002</v>
          </cell>
          <cell r="KG94">
            <v>0</v>
          </cell>
          <cell r="KH94">
            <v>0</v>
          </cell>
          <cell r="KI94">
            <v>0</v>
          </cell>
          <cell r="KJ94">
            <v>0</v>
          </cell>
          <cell r="KK94">
            <v>0</v>
          </cell>
          <cell r="KL94" t="str">
            <v>nd</v>
          </cell>
          <cell r="KM94">
            <v>56.699999999999996</v>
          </cell>
          <cell r="KN94">
            <v>30.599999999999998</v>
          </cell>
          <cell r="KO94">
            <v>2</v>
          </cell>
          <cell r="KP94">
            <v>4.5</v>
          </cell>
          <cell r="KQ94">
            <v>6.1</v>
          </cell>
          <cell r="KR94">
            <v>0.1</v>
          </cell>
          <cell r="KS94">
            <v>58.199999999999996</v>
          </cell>
          <cell r="KT94">
            <v>28.7</v>
          </cell>
          <cell r="KU94">
            <v>2</v>
          </cell>
          <cell r="KV94">
            <v>4.3999999999999995</v>
          </cell>
          <cell r="KW94">
            <v>6.6000000000000005</v>
          </cell>
          <cell r="KX94">
            <v>0.1</v>
          </cell>
          <cell r="KY94"/>
          <cell r="KZ94"/>
          <cell r="LA94"/>
          <cell r="LB94"/>
          <cell r="LC94"/>
          <cell r="LD94"/>
          <cell r="LE94"/>
          <cell r="LF94"/>
          <cell r="LG94"/>
          <cell r="LH94"/>
          <cell r="LI94"/>
          <cell r="LJ94"/>
          <cell r="LK94"/>
          <cell r="LL94"/>
          <cell r="LM94"/>
          <cell r="LN94"/>
          <cell r="LO94"/>
        </row>
        <row r="95">
          <cell r="A95" t="str">
            <v>4LZ</v>
          </cell>
          <cell r="B95" t="str">
            <v>95</v>
          </cell>
          <cell r="C95" t="str">
            <v>NAF 17</v>
          </cell>
          <cell r="D95" t="str">
            <v>LZ</v>
          </cell>
          <cell r="E95" t="str">
            <v>4</v>
          </cell>
          <cell r="F95">
            <v>0</v>
          </cell>
          <cell r="G95" t="str">
            <v>nd</v>
          </cell>
          <cell r="H95">
            <v>17.599999999999998</v>
          </cell>
          <cell r="I95">
            <v>75.5</v>
          </cell>
          <cell r="J95">
            <v>5.4</v>
          </cell>
          <cell r="K95">
            <v>74.900000000000006</v>
          </cell>
          <cell r="L95" t="str">
            <v>nd</v>
          </cell>
          <cell r="M95" t="str">
            <v>nd</v>
          </cell>
          <cell r="N95">
            <v>0</v>
          </cell>
          <cell r="O95">
            <v>12.2</v>
          </cell>
          <cell r="P95">
            <v>37.9</v>
          </cell>
          <cell r="Q95" t="str">
            <v>nd</v>
          </cell>
          <cell r="R95">
            <v>8.5</v>
          </cell>
          <cell r="S95">
            <v>8.6</v>
          </cell>
          <cell r="T95">
            <v>5.8000000000000007</v>
          </cell>
          <cell r="U95" t="str">
            <v>nd</v>
          </cell>
          <cell r="V95">
            <v>39.6</v>
          </cell>
          <cell r="W95">
            <v>10.199999999999999</v>
          </cell>
          <cell r="X95">
            <v>78.8</v>
          </cell>
          <cell r="Y95">
            <v>11</v>
          </cell>
          <cell r="Z95">
            <v>0</v>
          </cell>
          <cell r="AA95">
            <v>0</v>
          </cell>
          <cell r="AB95" t="str">
            <v>nd</v>
          </cell>
          <cell r="AC95">
            <v>43.1</v>
          </cell>
          <cell r="AD95" t="str">
            <v>nd</v>
          </cell>
          <cell r="AE95">
            <v>35.9</v>
          </cell>
          <cell r="AF95">
            <v>64.099999999999994</v>
          </cell>
          <cell r="AG95">
            <v>91.2</v>
          </cell>
          <cell r="AH95" t="str">
            <v>nd</v>
          </cell>
          <cell r="AI95">
            <v>23.400000000000002</v>
          </cell>
          <cell r="AJ95" t="str">
            <v>nd</v>
          </cell>
          <cell r="AK95">
            <v>0</v>
          </cell>
          <cell r="AL95">
            <v>68.5</v>
          </cell>
          <cell r="AM95">
            <v>0</v>
          </cell>
          <cell r="AN95" t="str">
            <v>nd</v>
          </cell>
          <cell r="AO95" t="str">
            <v>nd</v>
          </cell>
          <cell r="AP95">
            <v>0</v>
          </cell>
          <cell r="AQ95">
            <v>91.3</v>
          </cell>
          <cell r="AR95">
            <v>0</v>
          </cell>
          <cell r="AS95">
            <v>66.600000000000009</v>
          </cell>
          <cell r="AT95">
            <v>12.4</v>
          </cell>
          <cell r="AU95">
            <v>4.5</v>
          </cell>
          <cell r="AV95">
            <v>9</v>
          </cell>
          <cell r="AW95">
            <v>5.6000000000000005</v>
          </cell>
          <cell r="AX95" t="str">
            <v>nd</v>
          </cell>
          <cell r="AY95">
            <v>6.3</v>
          </cell>
          <cell r="AZ95">
            <v>17</v>
          </cell>
          <cell r="BA95">
            <v>7.9</v>
          </cell>
          <cell r="BB95">
            <v>11.899999999999999</v>
          </cell>
          <cell r="BC95">
            <v>35.5</v>
          </cell>
          <cell r="BD95">
            <v>21.3</v>
          </cell>
          <cell r="BE95">
            <v>0</v>
          </cell>
          <cell r="BF95">
            <v>0</v>
          </cell>
          <cell r="BG95">
            <v>0</v>
          </cell>
          <cell r="BH95">
            <v>0</v>
          </cell>
          <cell r="BI95">
            <v>32.300000000000004</v>
          </cell>
          <cell r="BJ95">
            <v>67.7</v>
          </cell>
          <cell r="BK95">
            <v>0</v>
          </cell>
          <cell r="BL95">
            <v>0</v>
          </cell>
          <cell r="BM95">
            <v>0</v>
          </cell>
          <cell r="BN95">
            <v>7.0000000000000009</v>
          </cell>
          <cell r="BO95">
            <v>70</v>
          </cell>
          <cell r="BP95">
            <v>22.900000000000002</v>
          </cell>
          <cell r="BQ95">
            <v>0</v>
          </cell>
          <cell r="BR95">
            <v>0</v>
          </cell>
          <cell r="BS95">
            <v>0</v>
          </cell>
          <cell r="BT95">
            <v>10.8</v>
          </cell>
          <cell r="BU95">
            <v>65.400000000000006</v>
          </cell>
          <cell r="BV95">
            <v>23.799999999999997</v>
          </cell>
          <cell r="BW95">
            <v>0</v>
          </cell>
          <cell r="BX95">
            <v>0</v>
          </cell>
          <cell r="BY95">
            <v>0</v>
          </cell>
          <cell r="BZ95">
            <v>0</v>
          </cell>
          <cell r="CA95" t="str">
            <v>nd</v>
          </cell>
          <cell r="CB95">
            <v>98</v>
          </cell>
          <cell r="CC95">
            <v>26.3</v>
          </cell>
          <cell r="CD95">
            <v>22.2</v>
          </cell>
          <cell r="CE95" t="str">
            <v>nd</v>
          </cell>
          <cell r="CF95">
            <v>0</v>
          </cell>
          <cell r="CG95">
            <v>0</v>
          </cell>
          <cell r="CH95">
            <v>8.4</v>
          </cell>
          <cell r="CI95">
            <v>13</v>
          </cell>
          <cell r="CJ95">
            <v>47.699999999999996</v>
          </cell>
          <cell r="CK95">
            <v>37.700000000000003</v>
          </cell>
          <cell r="CL95">
            <v>7.8</v>
          </cell>
          <cell r="CM95">
            <v>0</v>
          </cell>
          <cell r="CN95">
            <v>0</v>
          </cell>
          <cell r="CO95">
            <v>56.899999999999991</v>
          </cell>
          <cell r="CP95">
            <v>26.5</v>
          </cell>
          <cell r="CQ95">
            <v>37</v>
          </cell>
          <cell r="CR95" t="str">
            <v>nd</v>
          </cell>
          <cell r="CS95">
            <v>34.5</v>
          </cell>
          <cell r="CT95">
            <v>16.100000000000001</v>
          </cell>
          <cell r="CU95">
            <v>83.899999999999991</v>
          </cell>
          <cell r="CV95">
            <v>21.9</v>
          </cell>
          <cell r="CW95">
            <v>78.100000000000009</v>
          </cell>
          <cell r="CX95">
            <v>15</v>
          </cell>
          <cell r="CY95">
            <v>35.5</v>
          </cell>
          <cell r="CZ95">
            <v>49.6</v>
          </cell>
          <cell r="DA95">
            <v>32.9</v>
          </cell>
          <cell r="DB95">
            <v>0</v>
          </cell>
          <cell r="DC95" t="str">
            <v>nd</v>
          </cell>
          <cell r="DD95">
            <v>0</v>
          </cell>
          <cell r="DE95">
            <v>67.100000000000009</v>
          </cell>
          <cell r="DF95">
            <v>33.4</v>
          </cell>
          <cell r="DG95">
            <v>6.9</v>
          </cell>
          <cell r="DH95">
            <v>28.000000000000004</v>
          </cell>
          <cell r="DI95">
            <v>13.100000000000001</v>
          </cell>
          <cell r="DJ95">
            <v>6.8000000000000007</v>
          </cell>
          <cell r="DK95">
            <v>11.799999999999999</v>
          </cell>
          <cell r="DL95">
            <v>21.7</v>
          </cell>
          <cell r="DM95">
            <v>23.5</v>
          </cell>
          <cell r="DN95">
            <v>15.299999999999999</v>
          </cell>
          <cell r="DO95">
            <v>25</v>
          </cell>
          <cell r="DP95">
            <v>7.3999999999999995</v>
          </cell>
          <cell r="DQ95" t="str">
            <v>nd</v>
          </cell>
          <cell r="DR95" t="str">
            <v>nd</v>
          </cell>
          <cell r="DS95">
            <v>32.1</v>
          </cell>
          <cell r="DT95">
            <v>15.1</v>
          </cell>
          <cell r="DU95">
            <v>0</v>
          </cell>
          <cell r="DV95">
            <v>0</v>
          </cell>
          <cell r="DW95">
            <v>0</v>
          </cell>
          <cell r="DX95">
            <v>0</v>
          </cell>
          <cell r="DY95">
            <v>0</v>
          </cell>
          <cell r="DZ95" t="str">
            <v>nd</v>
          </cell>
          <cell r="EA95">
            <v>0</v>
          </cell>
          <cell r="EB95">
            <v>0</v>
          </cell>
          <cell r="EC95">
            <v>0</v>
          </cell>
          <cell r="ED95">
            <v>0</v>
          </cell>
          <cell r="EE95">
            <v>0</v>
          </cell>
          <cell r="EF95">
            <v>7.5460561999999998</v>
          </cell>
          <cell r="EG95" t="str">
            <v>nd</v>
          </cell>
          <cell r="EH95" t="str">
            <v>nd</v>
          </cell>
          <cell r="EI95">
            <v>8.024325000000001</v>
          </cell>
          <cell r="EJ95">
            <v>0</v>
          </cell>
          <cell r="EK95">
            <v>0</v>
          </cell>
          <cell r="EL95">
            <v>53.217466599999995</v>
          </cell>
          <cell r="EM95">
            <v>11.4895025</v>
          </cell>
          <cell r="EN95" t="str">
            <v>nd</v>
          </cell>
          <cell r="EO95" t="str">
            <v>nd</v>
          </cell>
          <cell r="EP95">
            <v>5.5664400000000001</v>
          </cell>
          <cell r="EQ95" t="str">
            <v>nd</v>
          </cell>
          <cell r="ER95" t="str">
            <v>nd</v>
          </cell>
          <cell r="ES95">
            <v>0</v>
          </cell>
          <cell r="ET95" t="str">
            <v>nd</v>
          </cell>
          <cell r="EU95">
            <v>0</v>
          </cell>
          <cell r="EV95">
            <v>0</v>
          </cell>
          <cell r="EW95">
            <v>0</v>
          </cell>
          <cell r="EX95">
            <v>0</v>
          </cell>
          <cell r="EY95">
            <v>0</v>
          </cell>
          <cell r="EZ95">
            <v>0</v>
          </cell>
          <cell r="FA95">
            <v>0</v>
          </cell>
          <cell r="FB95">
            <v>0</v>
          </cell>
          <cell r="FC95">
            <v>0</v>
          </cell>
          <cell r="FD95">
            <v>0</v>
          </cell>
          <cell r="FE95">
            <v>0</v>
          </cell>
          <cell r="FF95">
            <v>0</v>
          </cell>
          <cell r="FG95" t="str">
            <v>nd</v>
          </cell>
          <cell r="FH95">
            <v>0</v>
          </cell>
          <cell r="FI95" t="str">
            <v>nd</v>
          </cell>
          <cell r="FJ95">
            <v>6.08894</v>
          </cell>
          <cell r="FK95" t="str">
            <v>nd</v>
          </cell>
          <cell r="FL95" t="str">
            <v>nd</v>
          </cell>
          <cell r="FM95" t="str">
            <v>nd</v>
          </cell>
          <cell r="FN95" t="str">
            <v>nd</v>
          </cell>
          <cell r="FO95">
            <v>4.9143100000000004</v>
          </cell>
          <cell r="FP95">
            <v>10.974603400000001</v>
          </cell>
          <cell r="FQ95">
            <v>5.3100899999999998</v>
          </cell>
          <cell r="FR95">
            <v>10.379691600000001</v>
          </cell>
          <cell r="FS95">
            <v>31.083265599999997</v>
          </cell>
          <cell r="FT95">
            <v>12.991786899999999</v>
          </cell>
          <cell r="FU95">
            <v>0</v>
          </cell>
          <cell r="FV95">
            <v>0</v>
          </cell>
          <cell r="FW95" t="str">
            <v>nd</v>
          </cell>
          <cell r="FX95">
            <v>0</v>
          </cell>
          <cell r="FY95">
            <v>0</v>
          </cell>
          <cell r="FZ95" t="str">
            <v>nd</v>
          </cell>
          <cell r="GA95">
            <v>0</v>
          </cell>
          <cell r="GB95">
            <v>0</v>
          </cell>
          <cell r="GC95">
            <v>0</v>
          </cell>
          <cell r="GD95">
            <v>0</v>
          </cell>
          <cell r="GE95">
            <v>0</v>
          </cell>
          <cell r="GF95">
            <v>0</v>
          </cell>
          <cell r="GG95">
            <v>0</v>
          </cell>
          <cell r="GH95">
            <v>0</v>
          </cell>
          <cell r="GI95">
            <v>0</v>
          </cell>
          <cell r="GJ95" t="str">
            <v>nd</v>
          </cell>
          <cell r="GK95">
            <v>0</v>
          </cell>
          <cell r="GL95">
            <v>0</v>
          </cell>
          <cell r="GM95">
            <v>0</v>
          </cell>
          <cell r="GN95">
            <v>0</v>
          </cell>
          <cell r="GO95">
            <v>0</v>
          </cell>
          <cell r="GP95">
            <v>11.9145874</v>
          </cell>
          <cell r="GQ95">
            <v>5.4958100000000005</v>
          </cell>
          <cell r="GR95">
            <v>0</v>
          </cell>
          <cell r="GS95">
            <v>0</v>
          </cell>
          <cell r="GT95">
            <v>0</v>
          </cell>
          <cell r="GU95">
            <v>0</v>
          </cell>
          <cell r="GV95">
            <v>17.2023376</v>
          </cell>
          <cell r="GW95">
            <v>58.094023999999997</v>
          </cell>
          <cell r="GX95">
            <v>0</v>
          </cell>
          <cell r="GY95">
            <v>0</v>
          </cell>
          <cell r="GZ95">
            <v>0</v>
          </cell>
          <cell r="HA95">
            <v>0</v>
          </cell>
          <cell r="HB95" t="str">
            <v>nd</v>
          </cell>
          <cell r="HC95" t="str">
            <v>nd</v>
          </cell>
          <cell r="HD95">
            <v>0</v>
          </cell>
          <cell r="HE95">
            <v>0</v>
          </cell>
          <cell r="HF95">
            <v>0</v>
          </cell>
          <cell r="HG95">
            <v>0</v>
          </cell>
          <cell r="HH95">
            <v>0</v>
          </cell>
          <cell r="HI95">
            <v>0</v>
          </cell>
          <cell r="HJ95">
            <v>0</v>
          </cell>
          <cell r="HK95">
            <v>0</v>
          </cell>
          <cell r="HL95">
            <v>0</v>
          </cell>
          <cell r="HM95" t="str">
            <v>nd</v>
          </cell>
          <cell r="HN95">
            <v>0</v>
          </cell>
          <cell r="HO95">
            <v>0</v>
          </cell>
          <cell r="HP95">
            <v>0</v>
          </cell>
          <cell r="HQ95">
            <v>0</v>
          </cell>
          <cell r="HR95" t="str">
            <v>nd</v>
          </cell>
          <cell r="HS95">
            <v>17.457232399999999</v>
          </cell>
          <cell r="HT95">
            <v>0</v>
          </cell>
          <cell r="HU95">
            <v>0</v>
          </cell>
          <cell r="HV95">
            <v>0</v>
          </cell>
          <cell r="HW95">
            <v>0</v>
          </cell>
          <cell r="HX95" t="str">
            <v>nd</v>
          </cell>
          <cell r="HY95">
            <v>49.112374699999997</v>
          </cell>
          <cell r="HZ95">
            <v>21.063150700000001</v>
          </cell>
          <cell r="IA95">
            <v>0</v>
          </cell>
          <cell r="IB95">
            <v>0</v>
          </cell>
          <cell r="IC95">
            <v>0</v>
          </cell>
          <cell r="ID95">
            <v>0</v>
          </cell>
          <cell r="IE95" t="str">
            <v>nd</v>
          </cell>
          <cell r="IF95">
            <v>0</v>
          </cell>
          <cell r="IG95">
            <v>0</v>
          </cell>
          <cell r="IH95">
            <v>0</v>
          </cell>
          <cell r="II95">
            <v>0</v>
          </cell>
          <cell r="IJ95">
            <v>0</v>
          </cell>
          <cell r="IK95">
            <v>0</v>
          </cell>
          <cell r="IL95">
            <v>0</v>
          </cell>
          <cell r="IM95">
            <v>0</v>
          </cell>
          <cell r="IN95">
            <v>0</v>
          </cell>
          <cell r="IO95">
            <v>0</v>
          </cell>
          <cell r="IP95" t="str">
            <v>nd</v>
          </cell>
          <cell r="IQ95">
            <v>0</v>
          </cell>
          <cell r="IR95">
            <v>0</v>
          </cell>
          <cell r="IS95">
            <v>0</v>
          </cell>
          <cell r="IT95">
            <v>0</v>
          </cell>
          <cell r="IU95" t="str">
            <v>nd</v>
          </cell>
          <cell r="IV95">
            <v>15.026901200000001</v>
          </cell>
          <cell r="IW95">
            <v>0</v>
          </cell>
          <cell r="IX95">
            <v>0</v>
          </cell>
          <cell r="IY95">
            <v>0</v>
          </cell>
          <cell r="IZ95">
            <v>0</v>
          </cell>
          <cell r="JA95">
            <v>7.3841400999999998</v>
          </cell>
          <cell r="JB95">
            <v>46.484114099999999</v>
          </cell>
          <cell r="JC95">
            <v>21.6258877</v>
          </cell>
          <cell r="JD95">
            <v>0</v>
          </cell>
          <cell r="JE95">
            <v>0</v>
          </cell>
          <cell r="JF95">
            <v>0</v>
          </cell>
          <cell r="JG95">
            <v>0</v>
          </cell>
          <cell r="JH95" t="str">
            <v>nd</v>
          </cell>
          <cell r="JI95" t="str">
            <v>nd</v>
          </cell>
          <cell r="JJ95">
            <v>0</v>
          </cell>
          <cell r="JK95">
            <v>0</v>
          </cell>
          <cell r="JL95">
            <v>0</v>
          </cell>
          <cell r="JM95">
            <v>0</v>
          </cell>
          <cell r="JN95">
            <v>0</v>
          </cell>
          <cell r="JO95">
            <v>0</v>
          </cell>
          <cell r="JP95">
            <v>0</v>
          </cell>
          <cell r="JQ95">
            <v>0</v>
          </cell>
          <cell r="JR95">
            <v>0</v>
          </cell>
          <cell r="JS95">
            <v>0</v>
          </cell>
          <cell r="JT95" t="str">
            <v>nd</v>
          </cell>
          <cell r="JU95">
            <v>0</v>
          </cell>
          <cell r="JV95">
            <v>0</v>
          </cell>
          <cell r="JW95">
            <v>0</v>
          </cell>
          <cell r="JX95">
            <v>0</v>
          </cell>
          <cell r="JY95">
            <v>0</v>
          </cell>
          <cell r="JZ95">
            <v>16.980514299999999</v>
          </cell>
          <cell r="KA95">
            <v>0</v>
          </cell>
          <cell r="KB95">
            <v>0</v>
          </cell>
          <cell r="KC95">
            <v>0</v>
          </cell>
          <cell r="KD95">
            <v>0</v>
          </cell>
          <cell r="KE95" t="str">
            <v>nd</v>
          </cell>
          <cell r="KF95">
            <v>73.625398000000004</v>
          </cell>
          <cell r="KG95">
            <v>0</v>
          </cell>
          <cell r="KH95">
            <v>0</v>
          </cell>
          <cell r="KI95">
            <v>0</v>
          </cell>
          <cell r="KJ95">
            <v>0</v>
          </cell>
          <cell r="KK95">
            <v>0</v>
          </cell>
          <cell r="KL95">
            <v>5.7005999999999997</v>
          </cell>
          <cell r="KM95">
            <v>66.7</v>
          </cell>
          <cell r="KN95">
            <v>21.7</v>
          </cell>
          <cell r="KO95">
            <v>1.7000000000000002</v>
          </cell>
          <cell r="KP95">
            <v>4.8</v>
          </cell>
          <cell r="KQ95">
            <v>5.0999999999999996</v>
          </cell>
          <cell r="KR95">
            <v>0.1</v>
          </cell>
          <cell r="KS95">
            <v>66</v>
          </cell>
          <cell r="KT95">
            <v>21.4</v>
          </cell>
          <cell r="KU95">
            <v>1.6</v>
          </cell>
          <cell r="KV95">
            <v>5.0999999999999996</v>
          </cell>
          <cell r="KW95">
            <v>5.8000000000000007</v>
          </cell>
          <cell r="KX95">
            <v>0.1</v>
          </cell>
          <cell r="KY95"/>
          <cell r="KZ95"/>
          <cell r="LA95"/>
          <cell r="LB95"/>
          <cell r="LC95"/>
          <cell r="LD95"/>
          <cell r="LE95"/>
          <cell r="LF95"/>
          <cell r="LG95"/>
          <cell r="LH95"/>
          <cell r="LI95"/>
          <cell r="LJ95"/>
          <cell r="LK95"/>
          <cell r="LL95"/>
          <cell r="LM95"/>
          <cell r="LN95"/>
          <cell r="LO95"/>
        </row>
        <row r="96">
          <cell r="A96" t="str">
            <v>5LZ</v>
          </cell>
          <cell r="B96" t="str">
            <v>96</v>
          </cell>
          <cell r="C96" t="str">
            <v>NAF 17</v>
          </cell>
          <cell r="D96" t="str">
            <v>LZ</v>
          </cell>
          <cell r="E96" t="str">
            <v>5</v>
          </cell>
          <cell r="F96">
            <v>0</v>
          </cell>
          <cell r="G96" t="str">
            <v>nd</v>
          </cell>
          <cell r="H96">
            <v>10.8</v>
          </cell>
          <cell r="I96">
            <v>77.8</v>
          </cell>
          <cell r="J96">
            <v>8.3000000000000007</v>
          </cell>
          <cell r="K96">
            <v>0</v>
          </cell>
          <cell r="L96" t="str">
            <v>nd</v>
          </cell>
          <cell r="M96">
            <v>0</v>
          </cell>
          <cell r="N96">
            <v>43.5</v>
          </cell>
          <cell r="O96">
            <v>0</v>
          </cell>
          <cell r="P96">
            <v>32.4</v>
          </cell>
          <cell r="Q96">
            <v>0</v>
          </cell>
          <cell r="R96">
            <v>0</v>
          </cell>
          <cell r="S96">
            <v>17.2</v>
          </cell>
          <cell r="T96">
            <v>0</v>
          </cell>
          <cell r="U96">
            <v>18</v>
          </cell>
          <cell r="V96">
            <v>37.700000000000003</v>
          </cell>
          <cell r="W96" t="str">
            <v>nd</v>
          </cell>
          <cell r="X96">
            <v>86.3</v>
          </cell>
          <cell r="Y96">
            <v>11.799999999999999</v>
          </cell>
          <cell r="Z96">
            <v>0</v>
          </cell>
          <cell r="AA96">
            <v>0</v>
          </cell>
          <cell r="AB96">
            <v>0</v>
          </cell>
          <cell r="AC96">
            <v>0</v>
          </cell>
          <cell r="AD96" t="str">
            <v>nd</v>
          </cell>
          <cell r="AE96">
            <v>33.4</v>
          </cell>
          <cell r="AF96">
            <v>66.600000000000009</v>
          </cell>
          <cell r="AG96">
            <v>90.7</v>
          </cell>
          <cell r="AH96" t="str">
            <v>nd</v>
          </cell>
          <cell r="AI96">
            <v>0</v>
          </cell>
          <cell r="AJ96" t="str">
            <v>nd</v>
          </cell>
          <cell r="AK96" t="str">
            <v>nd</v>
          </cell>
          <cell r="AL96">
            <v>80.800000000000011</v>
          </cell>
          <cell r="AM96" t="str">
            <v>nd</v>
          </cell>
          <cell r="AN96">
            <v>0</v>
          </cell>
          <cell r="AO96">
            <v>0</v>
          </cell>
          <cell r="AP96">
            <v>0</v>
          </cell>
          <cell r="AQ96">
            <v>90.100000000000009</v>
          </cell>
          <cell r="AR96" t="str">
            <v>nd</v>
          </cell>
          <cell r="AS96">
            <v>42.8</v>
          </cell>
          <cell r="AT96">
            <v>30.2</v>
          </cell>
          <cell r="AU96">
            <v>16.5</v>
          </cell>
          <cell r="AV96" t="str">
            <v>nd</v>
          </cell>
          <cell r="AW96" t="str">
            <v>nd</v>
          </cell>
          <cell r="AX96">
            <v>0</v>
          </cell>
          <cell r="AY96">
            <v>7.1</v>
          </cell>
          <cell r="AZ96" t="str">
            <v>nd</v>
          </cell>
          <cell r="BA96">
            <v>29.4</v>
          </cell>
          <cell r="BB96">
            <v>18.2</v>
          </cell>
          <cell r="BC96">
            <v>29.2</v>
          </cell>
          <cell r="BD96">
            <v>11.4</v>
          </cell>
          <cell r="BE96">
            <v>0</v>
          </cell>
          <cell r="BF96">
            <v>0</v>
          </cell>
          <cell r="BG96">
            <v>0</v>
          </cell>
          <cell r="BH96" t="str">
            <v>nd</v>
          </cell>
          <cell r="BI96">
            <v>31.4</v>
          </cell>
          <cell r="BJ96">
            <v>67</v>
          </cell>
          <cell r="BK96">
            <v>0</v>
          </cell>
          <cell r="BL96">
            <v>0</v>
          </cell>
          <cell r="BM96">
            <v>0</v>
          </cell>
          <cell r="BN96" t="str">
            <v>nd</v>
          </cell>
          <cell r="BO96">
            <v>86.5</v>
          </cell>
          <cell r="BP96">
            <v>11.4</v>
          </cell>
          <cell r="BQ96">
            <v>0</v>
          </cell>
          <cell r="BR96">
            <v>0</v>
          </cell>
          <cell r="BS96" t="str">
            <v>nd</v>
          </cell>
          <cell r="BT96">
            <v>18.8</v>
          </cell>
          <cell r="BU96">
            <v>70.5</v>
          </cell>
          <cell r="BV96">
            <v>8.4</v>
          </cell>
          <cell r="BW96">
            <v>0</v>
          </cell>
          <cell r="BX96">
            <v>0</v>
          </cell>
          <cell r="BY96">
            <v>0</v>
          </cell>
          <cell r="BZ96">
            <v>0</v>
          </cell>
          <cell r="CA96" t="str">
            <v>nd</v>
          </cell>
          <cell r="CB96">
            <v>98.1</v>
          </cell>
          <cell r="CC96">
            <v>37</v>
          </cell>
          <cell r="CD96">
            <v>28.9</v>
          </cell>
          <cell r="CE96" t="str">
            <v>nd</v>
          </cell>
          <cell r="CF96">
            <v>0</v>
          </cell>
          <cell r="CG96">
            <v>0</v>
          </cell>
          <cell r="CH96">
            <v>10.100000000000001</v>
          </cell>
          <cell r="CI96">
            <v>7.1999999999999993</v>
          </cell>
          <cell r="CJ96">
            <v>42.3</v>
          </cell>
          <cell r="CK96">
            <v>39.800000000000004</v>
          </cell>
          <cell r="CL96" t="str">
            <v>nd</v>
          </cell>
          <cell r="CM96" t="str">
            <v>nd</v>
          </cell>
          <cell r="CN96" t="str">
            <v>nd</v>
          </cell>
          <cell r="CO96">
            <v>49.1</v>
          </cell>
          <cell r="CP96">
            <v>32.9</v>
          </cell>
          <cell r="CQ96">
            <v>19.100000000000001</v>
          </cell>
          <cell r="CR96">
            <v>0</v>
          </cell>
          <cell r="CS96">
            <v>48</v>
          </cell>
          <cell r="CT96">
            <v>11.4</v>
          </cell>
          <cell r="CU96">
            <v>88.6</v>
          </cell>
          <cell r="CV96">
            <v>22.7</v>
          </cell>
          <cell r="CW96">
            <v>77.3</v>
          </cell>
          <cell r="CX96">
            <v>25.7</v>
          </cell>
          <cell r="CY96">
            <v>16.8</v>
          </cell>
          <cell r="CZ96">
            <v>57.499999999999993</v>
          </cell>
          <cell r="DA96" t="str">
            <v>nd</v>
          </cell>
          <cell r="DB96">
            <v>0</v>
          </cell>
          <cell r="DC96">
            <v>0</v>
          </cell>
          <cell r="DD96">
            <v>0</v>
          </cell>
          <cell r="DE96">
            <v>88.9</v>
          </cell>
          <cell r="DF96">
            <v>18.7</v>
          </cell>
          <cell r="DG96">
            <v>28.199999999999996</v>
          </cell>
          <cell r="DH96">
            <v>11.4</v>
          </cell>
          <cell r="DI96">
            <v>9.9</v>
          </cell>
          <cell r="DJ96">
            <v>11.200000000000001</v>
          </cell>
          <cell r="DK96">
            <v>20.599999999999998</v>
          </cell>
          <cell r="DL96">
            <v>32.1</v>
          </cell>
          <cell r="DM96" t="str">
            <v>nd</v>
          </cell>
          <cell r="DN96">
            <v>14.399999999999999</v>
          </cell>
          <cell r="DO96">
            <v>33.900000000000006</v>
          </cell>
          <cell r="DP96">
            <v>10.6</v>
          </cell>
          <cell r="DQ96" t="str">
            <v>nd</v>
          </cell>
          <cell r="DR96" t="str">
            <v>nd</v>
          </cell>
          <cell r="DS96">
            <v>33.200000000000003</v>
          </cell>
          <cell r="DT96">
            <v>19.100000000000001</v>
          </cell>
          <cell r="DU96">
            <v>0</v>
          </cell>
          <cell r="DV96">
            <v>0</v>
          </cell>
          <cell r="DW96">
            <v>0</v>
          </cell>
          <cell r="DX96">
            <v>0</v>
          </cell>
          <cell r="DY96">
            <v>0</v>
          </cell>
          <cell r="DZ96">
            <v>0</v>
          </cell>
          <cell r="EA96">
            <v>0</v>
          </cell>
          <cell r="EB96">
            <v>0</v>
          </cell>
          <cell r="EC96">
            <v>0</v>
          </cell>
          <cell r="ED96" t="str">
            <v>nd</v>
          </cell>
          <cell r="EE96">
            <v>0</v>
          </cell>
          <cell r="EF96">
            <v>6.2840175999999994</v>
          </cell>
          <cell r="EG96">
            <v>0</v>
          </cell>
          <cell r="EH96">
            <v>0</v>
          </cell>
          <cell r="EI96" t="str">
            <v>nd</v>
          </cell>
          <cell r="EJ96">
            <v>0</v>
          </cell>
          <cell r="EK96">
            <v>0</v>
          </cell>
          <cell r="EL96">
            <v>29.853510400000001</v>
          </cell>
          <cell r="EM96">
            <v>28.236374400000003</v>
          </cell>
          <cell r="EN96">
            <v>16.468128</v>
          </cell>
          <cell r="EO96" t="str">
            <v>nd</v>
          </cell>
          <cell r="EP96">
            <v>0</v>
          </cell>
          <cell r="EQ96">
            <v>0</v>
          </cell>
          <cell r="ER96">
            <v>6.6619478999999995</v>
          </cell>
          <cell r="ES96" t="str">
            <v>nd</v>
          </cell>
          <cell r="ET96">
            <v>0</v>
          </cell>
          <cell r="EU96">
            <v>0</v>
          </cell>
          <cell r="EV96">
            <v>0</v>
          </cell>
          <cell r="EW96">
            <v>0</v>
          </cell>
          <cell r="EX96">
            <v>0</v>
          </cell>
          <cell r="EY96">
            <v>0</v>
          </cell>
          <cell r="EZ96">
            <v>0</v>
          </cell>
          <cell r="FA96">
            <v>0</v>
          </cell>
          <cell r="FB96">
            <v>0</v>
          </cell>
          <cell r="FC96" t="str">
            <v>nd</v>
          </cell>
          <cell r="FD96">
            <v>0</v>
          </cell>
          <cell r="FE96">
            <v>0</v>
          </cell>
          <cell r="FF96">
            <v>0</v>
          </cell>
          <cell r="FG96">
            <v>0</v>
          </cell>
          <cell r="FH96">
            <v>0</v>
          </cell>
          <cell r="FI96" t="str">
            <v>nd</v>
          </cell>
          <cell r="FJ96">
            <v>0</v>
          </cell>
          <cell r="FK96">
            <v>0</v>
          </cell>
          <cell r="FL96" t="str">
            <v>nd</v>
          </cell>
          <cell r="FM96" t="str">
            <v>nd</v>
          </cell>
          <cell r="FN96">
            <v>0</v>
          </cell>
          <cell r="FO96" t="str">
            <v>nd</v>
          </cell>
          <cell r="FP96" t="str">
            <v>nd</v>
          </cell>
          <cell r="FQ96">
            <v>29.387762699999996</v>
          </cell>
          <cell r="FR96">
            <v>8.9749607999999998</v>
          </cell>
          <cell r="FS96">
            <v>23.1863134</v>
          </cell>
          <cell r="FT96">
            <v>11.4438523</v>
          </cell>
          <cell r="FU96">
            <v>0</v>
          </cell>
          <cell r="FV96" t="str">
            <v>nd</v>
          </cell>
          <cell r="FW96">
            <v>0</v>
          </cell>
          <cell r="FX96" t="str">
            <v>nd</v>
          </cell>
          <cell r="FY96" t="str">
            <v>nd</v>
          </cell>
          <cell r="FZ96">
            <v>0</v>
          </cell>
          <cell r="GA96">
            <v>0</v>
          </cell>
          <cell r="GB96">
            <v>0</v>
          </cell>
          <cell r="GC96">
            <v>0</v>
          </cell>
          <cell r="GD96">
            <v>0</v>
          </cell>
          <cell r="GE96">
            <v>0</v>
          </cell>
          <cell r="GF96">
            <v>0</v>
          </cell>
          <cell r="GG96">
            <v>0</v>
          </cell>
          <cell r="GH96">
            <v>0</v>
          </cell>
          <cell r="GI96">
            <v>0</v>
          </cell>
          <cell r="GJ96" t="str">
            <v>nd</v>
          </cell>
          <cell r="GK96">
            <v>0</v>
          </cell>
          <cell r="GL96">
            <v>0</v>
          </cell>
          <cell r="GM96">
            <v>0</v>
          </cell>
          <cell r="GN96">
            <v>0</v>
          </cell>
          <cell r="GO96">
            <v>0</v>
          </cell>
          <cell r="GP96">
            <v>5.9702900000000003</v>
          </cell>
          <cell r="GQ96" t="str">
            <v>nd</v>
          </cell>
          <cell r="GR96">
            <v>0</v>
          </cell>
          <cell r="GS96">
            <v>0</v>
          </cell>
          <cell r="GT96">
            <v>0</v>
          </cell>
          <cell r="GU96" t="str">
            <v>nd</v>
          </cell>
          <cell r="GV96">
            <v>20.336772100000001</v>
          </cell>
          <cell r="GW96">
            <v>56.115919000000005</v>
          </cell>
          <cell r="GX96">
            <v>0</v>
          </cell>
          <cell r="GY96">
            <v>0</v>
          </cell>
          <cell r="GZ96">
            <v>0</v>
          </cell>
          <cell r="HA96">
            <v>0</v>
          </cell>
          <cell r="HB96" t="str">
            <v>nd</v>
          </cell>
          <cell r="HC96">
            <v>6.1463000000000001</v>
          </cell>
          <cell r="HD96">
            <v>0</v>
          </cell>
          <cell r="HE96">
            <v>0</v>
          </cell>
          <cell r="HF96">
            <v>0</v>
          </cell>
          <cell r="HG96">
            <v>0</v>
          </cell>
          <cell r="HH96">
            <v>0</v>
          </cell>
          <cell r="HI96">
            <v>0</v>
          </cell>
          <cell r="HJ96">
            <v>0</v>
          </cell>
          <cell r="HK96">
            <v>0</v>
          </cell>
          <cell r="HL96">
            <v>0</v>
          </cell>
          <cell r="HM96" t="str">
            <v>nd</v>
          </cell>
          <cell r="HN96">
            <v>0</v>
          </cell>
          <cell r="HO96">
            <v>0</v>
          </cell>
          <cell r="HP96">
            <v>0</v>
          </cell>
          <cell r="HQ96">
            <v>0</v>
          </cell>
          <cell r="HR96">
            <v>0</v>
          </cell>
          <cell r="HS96">
            <v>6.2239000000000004</v>
          </cell>
          <cell r="HT96" t="str">
            <v>nd</v>
          </cell>
          <cell r="HU96">
            <v>0</v>
          </cell>
          <cell r="HV96">
            <v>0</v>
          </cell>
          <cell r="HW96">
            <v>0</v>
          </cell>
          <cell r="HX96">
            <v>0</v>
          </cell>
          <cell r="HY96">
            <v>72.745840900000005</v>
          </cell>
          <cell r="HZ96" t="str">
            <v>nd</v>
          </cell>
          <cell r="IA96">
            <v>0</v>
          </cell>
          <cell r="IB96">
            <v>0</v>
          </cell>
          <cell r="IC96">
            <v>0</v>
          </cell>
          <cell r="ID96" t="str">
            <v>nd</v>
          </cell>
          <cell r="IE96" t="str">
            <v>nd</v>
          </cell>
          <cell r="IF96">
            <v>0</v>
          </cell>
          <cell r="IG96">
            <v>0</v>
          </cell>
          <cell r="IH96">
            <v>0</v>
          </cell>
          <cell r="II96">
            <v>0</v>
          </cell>
          <cell r="IJ96">
            <v>0</v>
          </cell>
          <cell r="IK96">
            <v>0</v>
          </cell>
          <cell r="IL96">
            <v>0</v>
          </cell>
          <cell r="IM96">
            <v>0</v>
          </cell>
          <cell r="IN96">
            <v>0</v>
          </cell>
          <cell r="IO96" t="str">
            <v>nd</v>
          </cell>
          <cell r="IP96">
            <v>0</v>
          </cell>
          <cell r="IQ96">
            <v>0</v>
          </cell>
          <cell r="IR96">
            <v>0</v>
          </cell>
          <cell r="IS96">
            <v>0</v>
          </cell>
          <cell r="IT96">
            <v>0</v>
          </cell>
          <cell r="IU96" t="str">
            <v>nd</v>
          </cell>
          <cell r="IV96" t="str">
            <v>nd</v>
          </cell>
          <cell r="IW96">
            <v>0</v>
          </cell>
          <cell r="IX96">
            <v>0</v>
          </cell>
          <cell r="IY96">
            <v>0</v>
          </cell>
          <cell r="IZ96" t="str">
            <v>nd</v>
          </cell>
          <cell r="JA96">
            <v>8.8386162000000006</v>
          </cell>
          <cell r="JB96">
            <v>59.769804299999997</v>
          </cell>
          <cell r="JC96">
            <v>8.4008351999999995</v>
          </cell>
          <cell r="JD96">
            <v>0</v>
          </cell>
          <cell r="JE96">
            <v>0</v>
          </cell>
          <cell r="JF96">
            <v>0</v>
          </cell>
          <cell r="JG96">
            <v>0</v>
          </cell>
          <cell r="JH96">
            <v>8.5808084999999998</v>
          </cell>
          <cell r="JI96">
            <v>0</v>
          </cell>
          <cell r="JJ96">
            <v>0</v>
          </cell>
          <cell r="JK96">
            <v>0</v>
          </cell>
          <cell r="JL96">
            <v>0</v>
          </cell>
          <cell r="JM96">
            <v>0</v>
          </cell>
          <cell r="JN96">
            <v>0</v>
          </cell>
          <cell r="JO96">
            <v>0</v>
          </cell>
          <cell r="JP96">
            <v>0</v>
          </cell>
          <cell r="JQ96">
            <v>0</v>
          </cell>
          <cell r="JR96">
            <v>0</v>
          </cell>
          <cell r="JS96">
            <v>0</v>
          </cell>
          <cell r="JT96" t="str">
            <v>nd</v>
          </cell>
          <cell r="JU96">
            <v>0</v>
          </cell>
          <cell r="JV96">
            <v>0</v>
          </cell>
          <cell r="JW96">
            <v>0</v>
          </cell>
          <cell r="JX96">
            <v>0</v>
          </cell>
          <cell r="JY96" t="str">
            <v>nd</v>
          </cell>
          <cell r="JZ96">
            <v>9.1216985000000008</v>
          </cell>
          <cell r="KA96">
            <v>0</v>
          </cell>
          <cell r="KB96">
            <v>0</v>
          </cell>
          <cell r="KC96">
            <v>0</v>
          </cell>
          <cell r="KD96">
            <v>0</v>
          </cell>
          <cell r="KE96">
            <v>0</v>
          </cell>
          <cell r="KF96">
            <v>77.336803500000002</v>
          </cell>
          <cell r="KG96">
            <v>0</v>
          </cell>
          <cell r="KH96">
            <v>0</v>
          </cell>
          <cell r="KI96">
            <v>0</v>
          </cell>
          <cell r="KJ96">
            <v>0</v>
          </cell>
          <cell r="KK96">
            <v>0</v>
          </cell>
          <cell r="KL96">
            <v>8.6240170999999997</v>
          </cell>
          <cell r="KM96">
            <v>61</v>
          </cell>
          <cell r="KN96">
            <v>23.7</v>
          </cell>
          <cell r="KO96">
            <v>1.7000000000000002</v>
          </cell>
          <cell r="KP96">
            <v>5</v>
          </cell>
          <cell r="KQ96">
            <v>8.5</v>
          </cell>
          <cell r="KR96">
            <v>0</v>
          </cell>
          <cell r="KS96">
            <v>60.199999999999996</v>
          </cell>
          <cell r="KT96">
            <v>23</v>
          </cell>
          <cell r="KU96">
            <v>1.9</v>
          </cell>
          <cell r="KV96">
            <v>5.4</v>
          </cell>
          <cell r="KW96">
            <v>9.6</v>
          </cell>
          <cell r="KX96">
            <v>0</v>
          </cell>
          <cell r="KY96"/>
          <cell r="KZ96"/>
          <cell r="LA96"/>
          <cell r="LB96"/>
          <cell r="LC96"/>
          <cell r="LD96"/>
          <cell r="LE96"/>
          <cell r="LF96"/>
          <cell r="LG96"/>
          <cell r="LH96"/>
          <cell r="LI96"/>
          <cell r="LJ96"/>
          <cell r="LK96"/>
          <cell r="LL96"/>
          <cell r="LM96"/>
          <cell r="LN96"/>
          <cell r="LO96"/>
        </row>
        <row r="97">
          <cell r="A97" t="str">
            <v>6LZ</v>
          </cell>
          <cell r="B97" t="str">
            <v>97</v>
          </cell>
          <cell r="C97" t="str">
            <v>NAF 17</v>
          </cell>
          <cell r="D97" t="str">
            <v>LZ</v>
          </cell>
          <cell r="E97" t="str">
            <v>6</v>
          </cell>
          <cell r="F97">
            <v>0</v>
          </cell>
          <cell r="G97">
            <v>0</v>
          </cell>
          <cell r="H97">
            <v>26</v>
          </cell>
          <cell r="I97">
            <v>68.2</v>
          </cell>
          <cell r="J97" t="str">
            <v>nd</v>
          </cell>
          <cell r="K97">
            <v>69.199999999999989</v>
          </cell>
          <cell r="L97" t="str">
            <v>nd</v>
          </cell>
          <cell r="M97" t="str">
            <v>nd</v>
          </cell>
          <cell r="N97">
            <v>0</v>
          </cell>
          <cell r="O97">
            <v>12.8</v>
          </cell>
          <cell r="P97">
            <v>36.799999999999997</v>
          </cell>
          <cell r="Q97">
            <v>0</v>
          </cell>
          <cell r="R97">
            <v>19.100000000000001</v>
          </cell>
          <cell r="S97" t="str">
            <v>nd</v>
          </cell>
          <cell r="T97">
            <v>4.5999999999999996</v>
          </cell>
          <cell r="U97" t="str">
            <v>nd</v>
          </cell>
          <cell r="V97">
            <v>45.6</v>
          </cell>
          <cell r="W97" t="str">
            <v>nd</v>
          </cell>
          <cell r="X97">
            <v>90.8</v>
          </cell>
          <cell r="Y97">
            <v>7.0000000000000009</v>
          </cell>
          <cell r="Z97">
            <v>0</v>
          </cell>
          <cell r="AA97" t="str">
            <v>nd</v>
          </cell>
          <cell r="AB97">
            <v>0</v>
          </cell>
          <cell r="AC97" t="str">
            <v>nd</v>
          </cell>
          <cell r="AD97">
            <v>0</v>
          </cell>
          <cell r="AE97">
            <v>62.8</v>
          </cell>
          <cell r="AF97">
            <v>37.200000000000003</v>
          </cell>
          <cell r="AG97">
            <v>97.899999999999991</v>
          </cell>
          <cell r="AH97" t="str">
            <v>nd</v>
          </cell>
          <cell r="AI97" t="str">
            <v>nd</v>
          </cell>
          <cell r="AJ97" t="str">
            <v>nd</v>
          </cell>
          <cell r="AK97">
            <v>0</v>
          </cell>
          <cell r="AL97">
            <v>81.2</v>
          </cell>
          <cell r="AM97">
            <v>0</v>
          </cell>
          <cell r="AN97">
            <v>0</v>
          </cell>
          <cell r="AO97" t="str">
            <v>nd</v>
          </cell>
          <cell r="AP97">
            <v>0</v>
          </cell>
          <cell r="AQ97">
            <v>83.6</v>
          </cell>
          <cell r="AR97" t="str">
            <v>nd</v>
          </cell>
          <cell r="AS97">
            <v>45.5</v>
          </cell>
          <cell r="AT97">
            <v>15.6</v>
          </cell>
          <cell r="AU97" t="str">
            <v>nd</v>
          </cell>
          <cell r="AV97" t="str">
            <v>nd</v>
          </cell>
          <cell r="AW97" t="str">
            <v>nd</v>
          </cell>
          <cell r="AX97" t="str">
            <v>nd</v>
          </cell>
          <cell r="AY97">
            <v>0</v>
          </cell>
          <cell r="AZ97">
            <v>25.2</v>
          </cell>
          <cell r="BA97">
            <v>17.5</v>
          </cell>
          <cell r="BB97">
            <v>25.900000000000002</v>
          </cell>
          <cell r="BC97">
            <v>29.799999999999997</v>
          </cell>
          <cell r="BD97" t="str">
            <v>nd</v>
          </cell>
          <cell r="BE97">
            <v>0</v>
          </cell>
          <cell r="BF97">
            <v>0</v>
          </cell>
          <cell r="BG97" t="str">
            <v>nd</v>
          </cell>
          <cell r="BH97" t="str">
            <v>nd</v>
          </cell>
          <cell r="BI97">
            <v>53.2</v>
          </cell>
          <cell r="BJ97">
            <v>35.6</v>
          </cell>
          <cell r="BK97">
            <v>0</v>
          </cell>
          <cell r="BL97">
            <v>0</v>
          </cell>
          <cell r="BM97">
            <v>0</v>
          </cell>
          <cell r="BN97" t="str">
            <v>nd</v>
          </cell>
          <cell r="BO97">
            <v>89.4</v>
          </cell>
          <cell r="BP97" t="str">
            <v>nd</v>
          </cell>
          <cell r="BQ97">
            <v>0</v>
          </cell>
          <cell r="BR97">
            <v>0</v>
          </cell>
          <cell r="BS97">
            <v>0</v>
          </cell>
          <cell r="BT97">
            <v>33.4</v>
          </cell>
          <cell r="BU97">
            <v>65.8</v>
          </cell>
          <cell r="BV97" t="str">
            <v>nd</v>
          </cell>
          <cell r="BW97">
            <v>0</v>
          </cell>
          <cell r="BX97">
            <v>0</v>
          </cell>
          <cell r="BY97">
            <v>0</v>
          </cell>
          <cell r="BZ97">
            <v>0</v>
          </cell>
          <cell r="CA97">
            <v>0</v>
          </cell>
          <cell r="CB97">
            <v>100</v>
          </cell>
          <cell r="CC97">
            <v>38.6</v>
          </cell>
          <cell r="CD97">
            <v>12.2</v>
          </cell>
          <cell r="CE97">
            <v>0</v>
          </cell>
          <cell r="CF97">
            <v>0</v>
          </cell>
          <cell r="CG97">
            <v>0</v>
          </cell>
          <cell r="CH97">
            <v>20.8</v>
          </cell>
          <cell r="CI97" t="str">
            <v>nd</v>
          </cell>
          <cell r="CJ97">
            <v>50.5</v>
          </cell>
          <cell r="CK97">
            <v>50.7</v>
          </cell>
          <cell r="CL97" t="str">
            <v>nd</v>
          </cell>
          <cell r="CM97">
            <v>0</v>
          </cell>
          <cell r="CN97">
            <v>0</v>
          </cell>
          <cell r="CO97">
            <v>45.4</v>
          </cell>
          <cell r="CP97">
            <v>25.900000000000002</v>
          </cell>
          <cell r="CQ97">
            <v>10.299999999999999</v>
          </cell>
          <cell r="CR97" t="str">
            <v>nd</v>
          </cell>
          <cell r="CS97">
            <v>60.8</v>
          </cell>
          <cell r="CT97">
            <v>6</v>
          </cell>
          <cell r="CU97">
            <v>94</v>
          </cell>
          <cell r="CV97">
            <v>20.100000000000001</v>
          </cell>
          <cell r="CW97">
            <v>79.900000000000006</v>
          </cell>
          <cell r="CX97">
            <v>19.5</v>
          </cell>
          <cell r="CY97">
            <v>26.400000000000002</v>
          </cell>
          <cell r="CZ97">
            <v>54.1</v>
          </cell>
          <cell r="DA97" t="str">
            <v>nd</v>
          </cell>
          <cell r="DB97">
            <v>0</v>
          </cell>
          <cell r="DC97" t="str">
            <v>nd</v>
          </cell>
          <cell r="DD97" t="str">
            <v>nd</v>
          </cell>
          <cell r="DE97">
            <v>59.599999999999994</v>
          </cell>
          <cell r="DF97">
            <v>31.2</v>
          </cell>
          <cell r="DG97">
            <v>10.9</v>
          </cell>
          <cell r="DH97">
            <v>34.1</v>
          </cell>
          <cell r="DI97">
            <v>12.8</v>
          </cell>
          <cell r="DJ97">
            <v>0</v>
          </cell>
          <cell r="DK97">
            <v>11.1</v>
          </cell>
          <cell r="DL97" t="str">
            <v>nd</v>
          </cell>
          <cell r="DM97">
            <v>8.7999999999999989</v>
          </cell>
          <cell r="DN97" t="str">
            <v>nd</v>
          </cell>
          <cell r="DO97">
            <v>49</v>
          </cell>
          <cell r="DP97" t="str">
            <v>nd</v>
          </cell>
          <cell r="DQ97">
            <v>0</v>
          </cell>
          <cell r="DR97" t="str">
            <v>nd</v>
          </cell>
          <cell r="DS97">
            <v>74.8</v>
          </cell>
          <cell r="DT97">
            <v>12.9</v>
          </cell>
          <cell r="DU97">
            <v>0</v>
          </cell>
          <cell r="DV97">
            <v>0</v>
          </cell>
          <cell r="DW97">
            <v>0</v>
          </cell>
          <cell r="DX97">
            <v>0</v>
          </cell>
          <cell r="DY97">
            <v>0</v>
          </cell>
          <cell r="DZ97">
            <v>0</v>
          </cell>
          <cell r="EA97">
            <v>0</v>
          </cell>
          <cell r="EB97">
            <v>0</v>
          </cell>
          <cell r="EC97">
            <v>0</v>
          </cell>
          <cell r="ED97">
            <v>0</v>
          </cell>
          <cell r="EE97">
            <v>0</v>
          </cell>
          <cell r="EF97">
            <v>15.441041499999999</v>
          </cell>
          <cell r="EG97">
            <v>0</v>
          </cell>
          <cell r="EH97" t="str">
            <v>nd</v>
          </cell>
          <cell r="EI97">
            <v>0</v>
          </cell>
          <cell r="EJ97">
            <v>0</v>
          </cell>
          <cell r="EK97">
            <v>0</v>
          </cell>
          <cell r="EL97">
            <v>30.0935703</v>
          </cell>
          <cell r="EM97">
            <v>15.593276899999999</v>
          </cell>
          <cell r="EN97">
            <v>0</v>
          </cell>
          <cell r="EO97" t="str">
            <v>nd</v>
          </cell>
          <cell r="EP97" t="str">
            <v>nd</v>
          </cell>
          <cell r="EQ97" t="str">
            <v>nd</v>
          </cell>
          <cell r="ER97">
            <v>0</v>
          </cell>
          <cell r="ES97">
            <v>0</v>
          </cell>
          <cell r="ET97">
            <v>0</v>
          </cell>
          <cell r="EU97">
            <v>0</v>
          </cell>
          <cell r="EV97">
            <v>0</v>
          </cell>
          <cell r="EW97">
            <v>0</v>
          </cell>
          <cell r="EX97">
            <v>0</v>
          </cell>
          <cell r="EY97">
            <v>0</v>
          </cell>
          <cell r="EZ97">
            <v>0</v>
          </cell>
          <cell r="FA97">
            <v>0</v>
          </cell>
          <cell r="FB97">
            <v>0</v>
          </cell>
          <cell r="FC97">
            <v>0</v>
          </cell>
          <cell r="FD97">
            <v>0</v>
          </cell>
          <cell r="FE97">
            <v>0</v>
          </cell>
          <cell r="FF97">
            <v>0</v>
          </cell>
          <cell r="FG97">
            <v>0</v>
          </cell>
          <cell r="FH97">
            <v>0</v>
          </cell>
          <cell r="FI97">
            <v>0</v>
          </cell>
          <cell r="FJ97">
            <v>0</v>
          </cell>
          <cell r="FK97" t="str">
            <v>nd</v>
          </cell>
          <cell r="FL97">
            <v>0</v>
          </cell>
          <cell r="FM97">
            <v>15.1105044</v>
          </cell>
          <cell r="FN97" t="str">
            <v>nd</v>
          </cell>
          <cell r="FO97">
            <v>0</v>
          </cell>
          <cell r="FP97">
            <v>25.232231100000003</v>
          </cell>
          <cell r="FQ97">
            <v>6.6997719999999994</v>
          </cell>
          <cell r="FR97">
            <v>25.891147799999999</v>
          </cell>
          <cell r="FS97">
            <v>8.9929234000000005</v>
          </cell>
          <cell r="FT97">
            <v>0</v>
          </cell>
          <cell r="FU97">
            <v>0</v>
          </cell>
          <cell r="FV97">
            <v>0</v>
          </cell>
          <cell r="FW97">
            <v>0</v>
          </cell>
          <cell r="FX97">
            <v>0</v>
          </cell>
          <cell r="FY97" t="str">
            <v>nd</v>
          </cell>
          <cell r="FZ97">
            <v>0</v>
          </cell>
          <cell r="GA97">
            <v>0</v>
          </cell>
          <cell r="GB97">
            <v>0</v>
          </cell>
          <cell r="GC97">
            <v>0</v>
          </cell>
          <cell r="GD97">
            <v>0</v>
          </cell>
          <cell r="GE97">
            <v>0</v>
          </cell>
          <cell r="GF97">
            <v>0</v>
          </cell>
          <cell r="GG97">
            <v>0</v>
          </cell>
          <cell r="GH97">
            <v>0</v>
          </cell>
          <cell r="GI97">
            <v>0</v>
          </cell>
          <cell r="GJ97">
            <v>0</v>
          </cell>
          <cell r="GK97">
            <v>0</v>
          </cell>
          <cell r="GL97">
            <v>0</v>
          </cell>
          <cell r="GM97">
            <v>0</v>
          </cell>
          <cell r="GN97" t="str">
            <v>nd</v>
          </cell>
          <cell r="GO97" t="str">
            <v>nd</v>
          </cell>
          <cell r="GP97" t="str">
            <v>nd</v>
          </cell>
          <cell r="GQ97">
            <v>7.009061599999999</v>
          </cell>
          <cell r="GR97">
            <v>0</v>
          </cell>
          <cell r="GS97">
            <v>0</v>
          </cell>
          <cell r="GT97" t="str">
            <v>nd</v>
          </cell>
          <cell r="GU97">
            <v>0</v>
          </cell>
          <cell r="GV97">
            <v>34.693779200000002</v>
          </cell>
          <cell r="GW97">
            <v>28.6491504</v>
          </cell>
          <cell r="GX97">
            <v>0</v>
          </cell>
          <cell r="GY97">
            <v>0</v>
          </cell>
          <cell r="GZ97">
            <v>0</v>
          </cell>
          <cell r="HA97">
            <v>0</v>
          </cell>
          <cell r="HB97" t="str">
            <v>nd</v>
          </cell>
          <cell r="HC97">
            <v>0</v>
          </cell>
          <cell r="HD97">
            <v>0</v>
          </cell>
          <cell r="HE97">
            <v>0</v>
          </cell>
          <cell r="HF97">
            <v>0</v>
          </cell>
          <cell r="HG97">
            <v>0</v>
          </cell>
          <cell r="HH97">
            <v>0</v>
          </cell>
          <cell r="HI97">
            <v>0</v>
          </cell>
          <cell r="HJ97">
            <v>0</v>
          </cell>
          <cell r="HK97">
            <v>0</v>
          </cell>
          <cell r="HL97">
            <v>0</v>
          </cell>
          <cell r="HM97">
            <v>0</v>
          </cell>
          <cell r="HN97">
            <v>0</v>
          </cell>
          <cell r="HO97">
            <v>0</v>
          </cell>
          <cell r="HP97">
            <v>0</v>
          </cell>
          <cell r="HQ97">
            <v>0</v>
          </cell>
          <cell r="HR97" t="str">
            <v>nd</v>
          </cell>
          <cell r="HS97">
            <v>18.5476837</v>
          </cell>
          <cell r="HT97">
            <v>0</v>
          </cell>
          <cell r="HU97">
            <v>0</v>
          </cell>
          <cell r="HV97">
            <v>0</v>
          </cell>
          <cell r="HW97">
            <v>0</v>
          </cell>
          <cell r="HX97" t="str">
            <v>nd</v>
          </cell>
          <cell r="HY97">
            <v>64.925725</v>
          </cell>
          <cell r="HZ97" t="str">
            <v>nd</v>
          </cell>
          <cell r="IA97">
            <v>0</v>
          </cell>
          <cell r="IB97">
            <v>0</v>
          </cell>
          <cell r="IC97">
            <v>0</v>
          </cell>
          <cell r="ID97">
            <v>0</v>
          </cell>
          <cell r="IE97" t="str">
            <v>nd</v>
          </cell>
          <cell r="IF97">
            <v>0</v>
          </cell>
          <cell r="IG97">
            <v>0</v>
          </cell>
          <cell r="IH97">
            <v>0</v>
          </cell>
          <cell r="II97">
            <v>0</v>
          </cell>
          <cell r="IJ97">
            <v>0</v>
          </cell>
          <cell r="IK97">
            <v>0</v>
          </cell>
          <cell r="IL97">
            <v>0</v>
          </cell>
          <cell r="IM97">
            <v>0</v>
          </cell>
          <cell r="IN97">
            <v>0</v>
          </cell>
          <cell r="IO97">
            <v>0</v>
          </cell>
          <cell r="IP97">
            <v>0</v>
          </cell>
          <cell r="IQ97">
            <v>0</v>
          </cell>
          <cell r="IR97">
            <v>0</v>
          </cell>
          <cell r="IS97">
            <v>0</v>
          </cell>
          <cell r="IT97">
            <v>0</v>
          </cell>
          <cell r="IU97">
            <v>12.867085100000001</v>
          </cell>
          <cell r="IV97">
            <v>13.563675399999999</v>
          </cell>
          <cell r="IW97">
            <v>0</v>
          </cell>
          <cell r="IX97">
            <v>0</v>
          </cell>
          <cell r="IY97">
            <v>0</v>
          </cell>
          <cell r="IZ97">
            <v>0</v>
          </cell>
          <cell r="JA97" t="str">
            <v>nd</v>
          </cell>
          <cell r="JB97">
            <v>46.569673999999999</v>
          </cell>
          <cell r="JC97" t="str">
            <v>nd</v>
          </cell>
          <cell r="JD97">
            <v>0</v>
          </cell>
          <cell r="JE97">
            <v>0</v>
          </cell>
          <cell r="JF97">
            <v>0</v>
          </cell>
          <cell r="JG97">
            <v>0</v>
          </cell>
          <cell r="JH97" t="str">
            <v>nd</v>
          </cell>
          <cell r="JI97">
            <v>0</v>
          </cell>
          <cell r="JJ97">
            <v>0</v>
          </cell>
          <cell r="JK97">
            <v>0</v>
          </cell>
          <cell r="JL97">
            <v>0</v>
          </cell>
          <cell r="JM97">
            <v>0</v>
          </cell>
          <cell r="JN97">
            <v>0</v>
          </cell>
          <cell r="JO97">
            <v>0</v>
          </cell>
          <cell r="JP97">
            <v>0</v>
          </cell>
          <cell r="JQ97">
            <v>0</v>
          </cell>
          <cell r="JR97">
            <v>0</v>
          </cell>
          <cell r="JS97">
            <v>0</v>
          </cell>
          <cell r="JT97">
            <v>0</v>
          </cell>
          <cell r="JU97">
            <v>0</v>
          </cell>
          <cell r="JV97">
            <v>0</v>
          </cell>
          <cell r="JW97">
            <v>0</v>
          </cell>
          <cell r="JX97">
            <v>0</v>
          </cell>
          <cell r="JY97">
            <v>0</v>
          </cell>
          <cell r="JZ97">
            <v>27.692180500000003</v>
          </cell>
          <cell r="KA97">
            <v>0</v>
          </cell>
          <cell r="KB97">
            <v>0</v>
          </cell>
          <cell r="KC97">
            <v>0</v>
          </cell>
          <cell r="KD97">
            <v>0</v>
          </cell>
          <cell r="KE97">
            <v>0</v>
          </cell>
          <cell r="KF97">
            <v>66.582679099999993</v>
          </cell>
          <cell r="KG97">
            <v>0</v>
          </cell>
          <cell r="KH97">
            <v>0</v>
          </cell>
          <cell r="KI97">
            <v>0</v>
          </cell>
          <cell r="KJ97">
            <v>0</v>
          </cell>
          <cell r="KK97">
            <v>0</v>
          </cell>
          <cell r="KL97" t="str">
            <v>nd</v>
          </cell>
          <cell r="KM97">
            <v>49.8</v>
          </cell>
          <cell r="KN97">
            <v>27.700000000000003</v>
          </cell>
          <cell r="KO97">
            <v>5.8000000000000007</v>
          </cell>
          <cell r="KP97">
            <v>6.7</v>
          </cell>
          <cell r="KQ97">
            <v>9.9</v>
          </cell>
          <cell r="KR97">
            <v>0</v>
          </cell>
          <cell r="KS97">
            <v>48.9</v>
          </cell>
          <cell r="KT97">
            <v>26.8</v>
          </cell>
          <cell r="KU97">
            <v>5.6000000000000005</v>
          </cell>
          <cell r="KV97">
            <v>7.0000000000000009</v>
          </cell>
          <cell r="KW97">
            <v>11.600000000000001</v>
          </cell>
          <cell r="KX97">
            <v>0</v>
          </cell>
          <cell r="KY97"/>
          <cell r="KZ97"/>
          <cell r="LA97"/>
          <cell r="LB97"/>
          <cell r="LC97"/>
          <cell r="LD97"/>
          <cell r="LE97"/>
          <cell r="LF97"/>
          <cell r="LG97"/>
          <cell r="LH97"/>
          <cell r="LI97"/>
          <cell r="LJ97"/>
          <cell r="LK97"/>
          <cell r="LL97"/>
          <cell r="LM97"/>
          <cell r="LN97"/>
          <cell r="LO97"/>
        </row>
        <row r="98">
          <cell r="A98" t="str">
            <v>EnsMN</v>
          </cell>
          <cell r="B98" t="str">
            <v>98</v>
          </cell>
          <cell r="C98" t="str">
            <v>NAF 17</v>
          </cell>
          <cell r="D98" t="str">
            <v>MN</v>
          </cell>
          <cell r="E98" t="str">
            <v/>
          </cell>
          <cell r="F98">
            <v>1.4000000000000001</v>
          </cell>
          <cell r="G98">
            <v>12.7</v>
          </cell>
          <cell r="H98">
            <v>43.1</v>
          </cell>
          <cell r="I98">
            <v>34.4</v>
          </cell>
          <cell r="J98">
            <v>8.3000000000000007</v>
          </cell>
          <cell r="K98">
            <v>68.100000000000009</v>
          </cell>
          <cell r="L98">
            <v>23.400000000000002</v>
          </cell>
          <cell r="M98">
            <v>3</v>
          </cell>
          <cell r="N98">
            <v>5.5</v>
          </cell>
          <cell r="O98">
            <v>35.299999999999997</v>
          </cell>
          <cell r="P98">
            <v>27.200000000000003</v>
          </cell>
          <cell r="Q98">
            <v>8.2000000000000011</v>
          </cell>
          <cell r="R98">
            <v>5.5</v>
          </cell>
          <cell r="S98">
            <v>10.8</v>
          </cell>
          <cell r="T98">
            <v>37.1</v>
          </cell>
          <cell r="U98">
            <v>12.1</v>
          </cell>
          <cell r="V98">
            <v>26.1</v>
          </cell>
          <cell r="W98">
            <v>19</v>
          </cell>
          <cell r="X98">
            <v>72.899999999999991</v>
          </cell>
          <cell r="Y98">
            <v>8.1</v>
          </cell>
          <cell r="Z98">
            <v>2.8000000000000003</v>
          </cell>
          <cell r="AA98">
            <v>50.8</v>
          </cell>
          <cell r="AB98">
            <v>11.200000000000001</v>
          </cell>
          <cell r="AC98">
            <v>59.199999999999996</v>
          </cell>
          <cell r="AD98">
            <v>29.599999999999998</v>
          </cell>
          <cell r="AE98">
            <v>62.8</v>
          </cell>
          <cell r="AF98">
            <v>37.200000000000003</v>
          </cell>
          <cell r="AG98">
            <v>57.4</v>
          </cell>
          <cell r="AH98">
            <v>42.6</v>
          </cell>
          <cell r="AI98">
            <v>50.6</v>
          </cell>
          <cell r="AJ98">
            <v>17</v>
          </cell>
          <cell r="AK98">
            <v>2.5</v>
          </cell>
          <cell r="AL98">
            <v>23.200000000000003</v>
          </cell>
          <cell r="AM98">
            <v>6.7</v>
          </cell>
          <cell r="AN98">
            <v>9.5</v>
          </cell>
          <cell r="AO98">
            <v>2.9000000000000004</v>
          </cell>
          <cell r="AP98">
            <v>7.3999999999999995</v>
          </cell>
          <cell r="AQ98">
            <v>66.3</v>
          </cell>
          <cell r="AR98">
            <v>13.900000000000002</v>
          </cell>
          <cell r="AS98">
            <v>45.1</v>
          </cell>
          <cell r="AT98">
            <v>18.5</v>
          </cell>
          <cell r="AU98">
            <v>9.9</v>
          </cell>
          <cell r="AV98">
            <v>12.3</v>
          </cell>
          <cell r="AW98">
            <v>8.1</v>
          </cell>
          <cell r="AX98">
            <v>6.1</v>
          </cell>
          <cell r="AY98">
            <v>10.100000000000001</v>
          </cell>
          <cell r="AZ98">
            <v>12.1</v>
          </cell>
          <cell r="BA98">
            <v>10.199999999999999</v>
          </cell>
          <cell r="BB98">
            <v>12.9</v>
          </cell>
          <cell r="BC98">
            <v>27.3</v>
          </cell>
          <cell r="BD98">
            <v>27.400000000000002</v>
          </cell>
          <cell r="BE98">
            <v>1.3</v>
          </cell>
          <cell r="BF98">
            <v>2.7</v>
          </cell>
          <cell r="BG98">
            <v>4.3</v>
          </cell>
          <cell r="BH98">
            <v>9</v>
          </cell>
          <cell r="BI98">
            <v>34</v>
          </cell>
          <cell r="BJ98">
            <v>48.699999999999996</v>
          </cell>
          <cell r="BK98">
            <v>0</v>
          </cell>
          <cell r="BL98">
            <v>0</v>
          </cell>
          <cell r="BM98">
            <v>0.5</v>
          </cell>
          <cell r="BN98">
            <v>5.7</v>
          </cell>
          <cell r="BO98">
            <v>66.3</v>
          </cell>
          <cell r="BP98">
            <v>27.500000000000004</v>
          </cell>
          <cell r="BQ98">
            <v>0.5</v>
          </cell>
          <cell r="BR98">
            <v>0.5</v>
          </cell>
          <cell r="BS98">
            <v>1.0999999999999999</v>
          </cell>
          <cell r="BT98">
            <v>14.799999999999999</v>
          </cell>
          <cell r="BU98">
            <v>61.6</v>
          </cell>
          <cell r="BV98">
            <v>21.5</v>
          </cell>
          <cell r="BW98">
            <v>0</v>
          </cell>
          <cell r="BX98">
            <v>0</v>
          </cell>
          <cell r="BY98">
            <v>0</v>
          </cell>
          <cell r="BZ98">
            <v>0.3</v>
          </cell>
          <cell r="CA98">
            <v>1.6</v>
          </cell>
          <cell r="CB98">
            <v>98.1</v>
          </cell>
          <cell r="CC98">
            <v>11.200000000000001</v>
          </cell>
          <cell r="CD98">
            <v>12.3</v>
          </cell>
          <cell r="CE98">
            <v>0.8</v>
          </cell>
          <cell r="CF98">
            <v>0.70000000000000007</v>
          </cell>
          <cell r="CG98">
            <v>0.6</v>
          </cell>
          <cell r="CH98">
            <v>18.099999999999998</v>
          </cell>
          <cell r="CI98">
            <v>12.5</v>
          </cell>
          <cell r="CJ98">
            <v>63.5</v>
          </cell>
          <cell r="CK98">
            <v>32.700000000000003</v>
          </cell>
          <cell r="CL98">
            <v>4.3999999999999995</v>
          </cell>
          <cell r="CM98">
            <v>2.1999999999999997</v>
          </cell>
          <cell r="CN98">
            <v>1.6</v>
          </cell>
          <cell r="CO98">
            <v>66.5</v>
          </cell>
          <cell r="CP98">
            <v>25</v>
          </cell>
          <cell r="CQ98">
            <v>26.3</v>
          </cell>
          <cell r="CR98">
            <v>15.6</v>
          </cell>
          <cell r="CS98">
            <v>33.1</v>
          </cell>
          <cell r="CT98">
            <v>24.2</v>
          </cell>
          <cell r="CU98">
            <v>75.8</v>
          </cell>
          <cell r="CV98">
            <v>31.900000000000002</v>
          </cell>
          <cell r="CW98">
            <v>68.100000000000009</v>
          </cell>
          <cell r="CX98">
            <v>24</v>
          </cell>
          <cell r="CY98">
            <v>20</v>
          </cell>
          <cell r="CZ98">
            <v>56.000000000000007</v>
          </cell>
          <cell r="DA98">
            <v>15.1</v>
          </cell>
          <cell r="DB98">
            <v>4</v>
          </cell>
          <cell r="DC98">
            <v>4.9000000000000004</v>
          </cell>
          <cell r="DD98">
            <v>0.4</v>
          </cell>
          <cell r="DE98">
            <v>79.100000000000009</v>
          </cell>
          <cell r="DF98">
            <v>14.499999999999998</v>
          </cell>
          <cell r="DG98">
            <v>8.6999999999999993</v>
          </cell>
          <cell r="DH98">
            <v>17.399999999999999</v>
          </cell>
          <cell r="DI98">
            <v>18.099999999999998</v>
          </cell>
          <cell r="DJ98">
            <v>20.5</v>
          </cell>
          <cell r="DK98">
            <v>20.8</v>
          </cell>
          <cell r="DL98">
            <v>15.4</v>
          </cell>
          <cell r="DM98">
            <v>43.7</v>
          </cell>
          <cell r="DN98">
            <v>8.6</v>
          </cell>
          <cell r="DO98">
            <v>24.8</v>
          </cell>
          <cell r="DP98">
            <v>17.7</v>
          </cell>
          <cell r="DQ98">
            <v>6.9</v>
          </cell>
          <cell r="DR98">
            <v>6.8000000000000007</v>
          </cell>
          <cell r="DS98">
            <v>19.600000000000001</v>
          </cell>
          <cell r="DT98">
            <v>20.200000000000003</v>
          </cell>
          <cell r="DU98" t="str">
            <v>nd</v>
          </cell>
          <cell r="DV98">
            <v>0.75704700000000003</v>
          </cell>
          <cell r="DW98">
            <v>0</v>
          </cell>
          <cell r="DX98" t="str">
            <v>nd</v>
          </cell>
          <cell r="DY98">
            <v>0.51578400000000002</v>
          </cell>
          <cell r="DZ98">
            <v>3.4794299999999998</v>
          </cell>
          <cell r="EA98">
            <v>1.65405</v>
          </cell>
          <cell r="EB98">
            <v>2.4608499999999998</v>
          </cell>
          <cell r="EC98">
            <v>2.6725400000000001</v>
          </cell>
          <cell r="ED98">
            <v>1.9274800000000001</v>
          </cell>
          <cell r="EE98">
            <v>0.48051700000000003</v>
          </cell>
          <cell r="EF98">
            <v>17.906024200000001</v>
          </cell>
          <cell r="EG98">
            <v>10.403278200000001</v>
          </cell>
          <cell r="EH98">
            <v>4.2408099999999997</v>
          </cell>
          <cell r="EI98">
            <v>5.8603399999999999</v>
          </cell>
          <cell r="EJ98">
            <v>3.0270800000000002</v>
          </cell>
          <cell r="EK98">
            <v>2.0271600000000003</v>
          </cell>
          <cell r="EL98">
            <v>19.863241600000002</v>
          </cell>
          <cell r="EM98">
            <v>3.4809700000000001</v>
          </cell>
          <cell r="EN98">
            <v>2.8387500000000001</v>
          </cell>
          <cell r="EO98">
            <v>3.31331</v>
          </cell>
          <cell r="EP98">
            <v>1.9634499999999999</v>
          </cell>
          <cell r="EQ98">
            <v>2.6710199999999999</v>
          </cell>
          <cell r="ER98">
            <v>3.8129999999999997</v>
          </cell>
          <cell r="ES98">
            <v>2.8888000000000003</v>
          </cell>
          <cell r="ET98">
            <v>0.35420600000000002</v>
          </cell>
          <cell r="EU98">
            <v>0.42816100000000001</v>
          </cell>
          <cell r="EV98">
            <v>0.420321</v>
          </cell>
          <cell r="EW98">
            <v>0.38135000000000002</v>
          </cell>
          <cell r="EX98">
            <v>7.5162099999999996E-2</v>
          </cell>
          <cell r="EY98">
            <v>0.30359800000000003</v>
          </cell>
          <cell r="EZ98" t="str">
            <v>nd</v>
          </cell>
          <cell r="FA98">
            <v>0.10324100000000001</v>
          </cell>
          <cell r="FB98">
            <v>0.82789000000000001</v>
          </cell>
          <cell r="FC98">
            <v>1.40317</v>
          </cell>
          <cell r="FD98">
            <v>1.4955100000000001</v>
          </cell>
          <cell r="FE98">
            <v>1.0815600000000001</v>
          </cell>
          <cell r="FF98">
            <v>1.55053</v>
          </cell>
          <cell r="FG98">
            <v>4.7175500000000001</v>
          </cell>
          <cell r="FH98">
            <v>2.42502</v>
          </cell>
          <cell r="FI98">
            <v>3.7203200000000001</v>
          </cell>
          <cell r="FJ98">
            <v>6.4622498000000004</v>
          </cell>
          <cell r="FK98">
            <v>5.3715700000000002</v>
          </cell>
          <cell r="FL98">
            <v>4.6202800000000002</v>
          </cell>
          <cell r="FM98">
            <v>12.927543</v>
          </cell>
          <cell r="FN98">
            <v>10.256929400000001</v>
          </cell>
          <cell r="FO98">
            <v>4.2089599999999994</v>
          </cell>
          <cell r="FP98">
            <v>3.57829</v>
          </cell>
          <cell r="FQ98">
            <v>3.1484100000000002</v>
          </cell>
          <cell r="FR98">
            <v>4.0831299999999997</v>
          </cell>
          <cell r="FS98">
            <v>7.5548776999999996</v>
          </cell>
          <cell r="FT98">
            <v>11.836995099999999</v>
          </cell>
          <cell r="FU98">
            <v>0.68197400000000008</v>
          </cell>
          <cell r="FV98">
            <v>0.49790600000000007</v>
          </cell>
          <cell r="FW98">
            <v>0.52334900000000006</v>
          </cell>
          <cell r="FX98">
            <v>2.5843400000000001</v>
          </cell>
          <cell r="FY98">
            <v>1.7373099999999999</v>
          </cell>
          <cell r="FZ98">
            <v>2.09232</v>
          </cell>
          <cell r="GA98">
            <v>0.47755200000000003</v>
          </cell>
          <cell r="GB98" t="str">
            <v>nd</v>
          </cell>
          <cell r="GC98" t="str">
            <v>nd</v>
          </cell>
          <cell r="GD98" t="str">
            <v>nd</v>
          </cell>
          <cell r="GE98">
            <v>0.35154800000000003</v>
          </cell>
          <cell r="GF98">
            <v>0.26281599999999999</v>
          </cell>
          <cell r="GG98">
            <v>1.7176</v>
          </cell>
          <cell r="GH98">
            <v>2.1451899999999999</v>
          </cell>
          <cell r="GI98">
            <v>1.9135</v>
          </cell>
          <cell r="GJ98">
            <v>3.2499100000000003</v>
          </cell>
          <cell r="GK98">
            <v>3.3552499999999998</v>
          </cell>
          <cell r="GL98">
            <v>0.349995</v>
          </cell>
          <cell r="GM98">
            <v>0.55188700000000002</v>
          </cell>
          <cell r="GN98">
            <v>1.9815800000000001</v>
          </cell>
          <cell r="GO98">
            <v>5.7325599999999994</v>
          </cell>
          <cell r="GP98">
            <v>19.648572399999999</v>
          </cell>
          <cell r="GQ98">
            <v>14.8529477</v>
          </cell>
          <cell r="GR98">
            <v>0.18528600000000001</v>
          </cell>
          <cell r="GS98" t="str">
            <v>nd</v>
          </cell>
          <cell r="GT98" t="str">
            <v>nd</v>
          </cell>
          <cell r="GU98">
            <v>0.93206</v>
          </cell>
          <cell r="GV98">
            <v>8.8442182999999996</v>
          </cell>
          <cell r="GW98">
            <v>24.493200600000002</v>
          </cell>
          <cell r="GX98" t="str">
            <v>nd</v>
          </cell>
          <cell r="GY98">
            <v>0</v>
          </cell>
          <cell r="GZ98">
            <v>0.10396400000000001</v>
          </cell>
          <cell r="HA98">
            <v>0.35371000000000002</v>
          </cell>
          <cell r="HB98">
            <v>2.3234699999999999</v>
          </cell>
          <cell r="HC98">
            <v>5.5323599999999997</v>
          </cell>
          <cell r="HD98">
            <v>0</v>
          </cell>
          <cell r="HE98">
            <v>0.59118000000000004</v>
          </cell>
          <cell r="HF98">
            <v>0</v>
          </cell>
          <cell r="HG98">
            <v>0.39510400000000001</v>
          </cell>
          <cell r="HH98">
            <v>0.49232599999999999</v>
          </cell>
          <cell r="HI98">
            <v>0</v>
          </cell>
          <cell r="HJ98">
            <v>0</v>
          </cell>
          <cell r="HK98">
            <v>0</v>
          </cell>
          <cell r="HL98">
            <v>0.47448499999999999</v>
          </cell>
          <cell r="HM98">
            <v>8.9069053999999994</v>
          </cell>
          <cell r="HN98">
            <v>3.0682200000000002</v>
          </cell>
          <cell r="HO98">
            <v>0</v>
          </cell>
          <cell r="HP98">
            <v>0</v>
          </cell>
          <cell r="HQ98">
            <v>0</v>
          </cell>
          <cell r="HR98">
            <v>3.2833800000000002</v>
          </cell>
          <cell r="HS98">
            <v>31.495175399999997</v>
          </cell>
          <cell r="HT98">
            <v>8.8929416999999997</v>
          </cell>
          <cell r="HU98">
            <v>0</v>
          </cell>
          <cell r="HV98">
            <v>0</v>
          </cell>
          <cell r="HW98">
            <v>0.456847</v>
          </cell>
          <cell r="HX98">
            <v>1.19835</v>
          </cell>
          <cell r="HY98">
            <v>20.015092899999999</v>
          </cell>
          <cell r="HZ98">
            <v>12.3842464</v>
          </cell>
          <cell r="IA98">
            <v>0</v>
          </cell>
          <cell r="IB98">
            <v>0</v>
          </cell>
          <cell r="IC98">
            <v>0</v>
          </cell>
          <cell r="ID98">
            <v>0.34923300000000002</v>
          </cell>
          <cell r="IE98">
            <v>5.4276900000000001</v>
          </cell>
          <cell r="IF98">
            <v>2.5688200000000001</v>
          </cell>
          <cell r="IG98">
            <v>0</v>
          </cell>
          <cell r="IH98">
            <v>0.37396800000000002</v>
          </cell>
          <cell r="II98" t="str">
            <v>nd</v>
          </cell>
          <cell r="IJ98">
            <v>0.35150399999999998</v>
          </cell>
          <cell r="IK98">
            <v>0.66367300000000007</v>
          </cell>
          <cell r="IL98" t="str">
            <v>nd</v>
          </cell>
          <cell r="IM98">
            <v>0.16425400000000001</v>
          </cell>
          <cell r="IN98">
            <v>0.260515</v>
          </cell>
          <cell r="IO98">
            <v>2.5421900000000002</v>
          </cell>
          <cell r="IP98">
            <v>7.3835298999999992</v>
          </cell>
          <cell r="IQ98">
            <v>2.0698300000000001</v>
          </cell>
          <cell r="IR98">
            <v>0.20111199999999999</v>
          </cell>
          <cell r="IS98">
            <v>0.198745</v>
          </cell>
          <cell r="IT98">
            <v>0.40037</v>
          </cell>
          <cell r="IU98">
            <v>6.4237857999999992</v>
          </cell>
          <cell r="IV98">
            <v>29.623425900000001</v>
          </cell>
          <cell r="IW98">
            <v>6.6838493999999997</v>
          </cell>
          <cell r="IX98">
            <v>8.5378899999999994E-2</v>
          </cell>
          <cell r="IY98" t="str">
            <v>nd</v>
          </cell>
          <cell r="IZ98">
            <v>0.38000200000000001</v>
          </cell>
          <cell r="JA98">
            <v>4.6348700000000003</v>
          </cell>
          <cell r="JB98">
            <v>18.537818699999999</v>
          </cell>
          <cell r="JC98">
            <v>10.414466000000001</v>
          </cell>
          <cell r="JD98">
            <v>0</v>
          </cell>
          <cell r="JE98" t="str">
            <v>nd</v>
          </cell>
          <cell r="JF98" t="str">
            <v>nd</v>
          </cell>
          <cell r="JG98">
            <v>0.88538000000000006</v>
          </cell>
          <cell r="JH98">
            <v>5.6501900000000003</v>
          </cell>
          <cell r="JI98">
            <v>1.7007299999999999</v>
          </cell>
          <cell r="JJ98">
            <v>0</v>
          </cell>
          <cell r="JK98">
            <v>0.35411399999999998</v>
          </cell>
          <cell r="JL98">
            <v>0</v>
          </cell>
          <cell r="JM98">
            <v>0</v>
          </cell>
          <cell r="JN98">
            <v>1.07473</v>
          </cell>
          <cell r="JO98">
            <v>0</v>
          </cell>
          <cell r="JP98">
            <v>0</v>
          </cell>
          <cell r="JQ98">
            <v>0</v>
          </cell>
          <cell r="JR98">
            <v>0</v>
          </cell>
          <cell r="JS98">
            <v>0.21700500000000003</v>
          </cell>
          <cell r="JT98">
            <v>12.364973599999999</v>
          </cell>
          <cell r="JU98">
            <v>0</v>
          </cell>
          <cell r="JV98">
            <v>0</v>
          </cell>
          <cell r="JW98">
            <v>0</v>
          </cell>
          <cell r="JX98">
            <v>0.18690499999999999</v>
          </cell>
          <cell r="JY98">
            <v>0.63257399999999997</v>
          </cell>
          <cell r="JZ98">
            <v>42.742143500000005</v>
          </cell>
          <cell r="KA98">
            <v>0</v>
          </cell>
          <cell r="KB98">
            <v>0</v>
          </cell>
          <cell r="KC98">
            <v>0</v>
          </cell>
          <cell r="KD98">
            <v>9.1499200000000003E-2</v>
          </cell>
          <cell r="KE98">
            <v>0.27620499999999998</v>
          </cell>
          <cell r="KF98">
            <v>33.803186400000001</v>
          </cell>
          <cell r="KG98">
            <v>0</v>
          </cell>
          <cell r="KH98">
            <v>0</v>
          </cell>
          <cell r="KI98">
            <v>0</v>
          </cell>
          <cell r="KJ98">
            <v>0</v>
          </cell>
          <cell r="KK98">
            <v>0.10302499999999999</v>
          </cell>
          <cell r="KL98">
            <v>8.1536422999999996</v>
          </cell>
          <cell r="KM98">
            <v>57.099999999999994</v>
          </cell>
          <cell r="KN98">
            <v>23.599999999999998</v>
          </cell>
          <cell r="KO98">
            <v>7.8</v>
          </cell>
          <cell r="KP98">
            <v>4.5999999999999996</v>
          </cell>
          <cell r="KQ98">
            <v>6.8000000000000007</v>
          </cell>
          <cell r="KR98">
            <v>0.1</v>
          </cell>
          <cell r="KS98">
            <v>56.3</v>
          </cell>
          <cell r="KT98">
            <v>23.200000000000003</v>
          </cell>
          <cell r="KU98">
            <v>7.9</v>
          </cell>
          <cell r="KV98">
            <v>4.9000000000000004</v>
          </cell>
          <cell r="KW98">
            <v>7.5</v>
          </cell>
          <cell r="KX98">
            <v>0.2</v>
          </cell>
          <cell r="KY98"/>
          <cell r="KZ98"/>
          <cell r="LA98"/>
          <cell r="LB98"/>
          <cell r="LC98"/>
          <cell r="LD98"/>
          <cell r="LE98"/>
          <cell r="LF98"/>
          <cell r="LG98"/>
          <cell r="LH98"/>
          <cell r="LI98"/>
          <cell r="LJ98"/>
          <cell r="LK98"/>
          <cell r="LL98"/>
          <cell r="LM98"/>
          <cell r="LN98"/>
          <cell r="LO98"/>
        </row>
        <row r="99">
          <cell r="A99" t="str">
            <v>1MN</v>
          </cell>
          <cell r="B99" t="str">
            <v>99</v>
          </cell>
          <cell r="C99" t="str">
            <v>NAF 17</v>
          </cell>
          <cell r="D99" t="str">
            <v>MN</v>
          </cell>
          <cell r="E99" t="str">
            <v>1</v>
          </cell>
          <cell r="F99">
            <v>1.3</v>
          </cell>
          <cell r="G99">
            <v>12</v>
          </cell>
          <cell r="H99">
            <v>26.6</v>
          </cell>
          <cell r="I99">
            <v>50.3</v>
          </cell>
          <cell r="J99">
            <v>9.8000000000000007</v>
          </cell>
          <cell r="K99">
            <v>66.8</v>
          </cell>
          <cell r="L99">
            <v>23.799999999999997</v>
          </cell>
          <cell r="M99">
            <v>5.3</v>
          </cell>
          <cell r="N99">
            <v>4.1000000000000005</v>
          </cell>
          <cell r="O99">
            <v>25.900000000000002</v>
          </cell>
          <cell r="P99">
            <v>27.700000000000003</v>
          </cell>
          <cell r="Q99">
            <v>9.3000000000000007</v>
          </cell>
          <cell r="R99">
            <v>6.8000000000000007</v>
          </cell>
          <cell r="S99">
            <v>8.6999999999999993</v>
          </cell>
          <cell r="T99">
            <v>31.1</v>
          </cell>
          <cell r="U99">
            <v>12.4</v>
          </cell>
          <cell r="V99">
            <v>28.299999999999997</v>
          </cell>
          <cell r="W99">
            <v>8.2000000000000011</v>
          </cell>
          <cell r="X99">
            <v>89.4</v>
          </cell>
          <cell r="Y99">
            <v>2.5</v>
          </cell>
          <cell r="Z99" t="str">
            <v>nd</v>
          </cell>
          <cell r="AA99">
            <v>42.9</v>
          </cell>
          <cell r="AB99">
            <v>15.7</v>
          </cell>
          <cell r="AC99">
            <v>55.7</v>
          </cell>
          <cell r="AD99">
            <v>12.9</v>
          </cell>
          <cell r="AE99">
            <v>35.6</v>
          </cell>
          <cell r="AF99">
            <v>64.400000000000006</v>
          </cell>
          <cell r="AG99">
            <v>37.700000000000003</v>
          </cell>
          <cell r="AH99">
            <v>62.3</v>
          </cell>
          <cell r="AI99">
            <v>48.9</v>
          </cell>
          <cell r="AJ99">
            <v>12.3</v>
          </cell>
          <cell r="AK99">
            <v>3.6999999999999997</v>
          </cell>
          <cell r="AL99">
            <v>24.3</v>
          </cell>
          <cell r="AM99">
            <v>10.9</v>
          </cell>
          <cell r="AN99">
            <v>10</v>
          </cell>
          <cell r="AO99">
            <v>1.7000000000000002</v>
          </cell>
          <cell r="AP99">
            <v>1.7000000000000002</v>
          </cell>
          <cell r="AQ99">
            <v>83.399999999999991</v>
          </cell>
          <cell r="AR99">
            <v>3.2</v>
          </cell>
          <cell r="AS99">
            <v>61</v>
          </cell>
          <cell r="AT99">
            <v>8.6999999999999993</v>
          </cell>
          <cell r="AU99">
            <v>6.4</v>
          </cell>
          <cell r="AV99">
            <v>5.4</v>
          </cell>
          <cell r="AW99">
            <v>6.4</v>
          </cell>
          <cell r="AX99">
            <v>12.2</v>
          </cell>
          <cell r="AY99">
            <v>8.1</v>
          </cell>
          <cell r="AZ99">
            <v>7.0000000000000009</v>
          </cell>
          <cell r="BA99">
            <v>7.1999999999999993</v>
          </cell>
          <cell r="BB99">
            <v>10.199999999999999</v>
          </cell>
          <cell r="BC99">
            <v>24.4</v>
          </cell>
          <cell r="BD99">
            <v>43.2</v>
          </cell>
          <cell r="BE99">
            <v>2.8000000000000003</v>
          </cell>
          <cell r="BF99">
            <v>1</v>
          </cell>
          <cell r="BG99">
            <v>3.5999999999999996</v>
          </cell>
          <cell r="BH99">
            <v>3.2</v>
          </cell>
          <cell r="BI99">
            <v>12.6</v>
          </cell>
          <cell r="BJ99">
            <v>76.8</v>
          </cell>
          <cell r="BK99">
            <v>0</v>
          </cell>
          <cell r="BL99">
            <v>0</v>
          </cell>
          <cell r="BM99">
            <v>0</v>
          </cell>
          <cell r="BN99">
            <v>0.89999999999999991</v>
          </cell>
          <cell r="BO99">
            <v>27.800000000000004</v>
          </cell>
          <cell r="BP99">
            <v>71.3</v>
          </cell>
          <cell r="BQ99">
            <v>0</v>
          </cell>
          <cell r="BR99">
            <v>0</v>
          </cell>
          <cell r="BS99" t="str">
            <v>nd</v>
          </cell>
          <cell r="BT99">
            <v>8.2000000000000011</v>
          </cell>
          <cell r="BU99">
            <v>37.1</v>
          </cell>
          <cell r="BV99">
            <v>54.500000000000007</v>
          </cell>
          <cell r="BW99">
            <v>0</v>
          </cell>
          <cell r="BX99">
            <v>0</v>
          </cell>
          <cell r="BY99">
            <v>0</v>
          </cell>
          <cell r="BZ99" t="str">
            <v>nd</v>
          </cell>
          <cell r="CA99">
            <v>0.70000000000000007</v>
          </cell>
          <cell r="CB99">
            <v>99.2</v>
          </cell>
          <cell r="CC99">
            <v>13.8</v>
          </cell>
          <cell r="CD99">
            <v>5.0999999999999996</v>
          </cell>
          <cell r="CE99">
            <v>0</v>
          </cell>
          <cell r="CF99">
            <v>1.2</v>
          </cell>
          <cell r="CG99" t="str">
            <v>nd</v>
          </cell>
          <cell r="CH99">
            <v>16.2</v>
          </cell>
          <cell r="CI99">
            <v>14.799999999999999</v>
          </cell>
          <cell r="CJ99">
            <v>67.300000000000011</v>
          </cell>
          <cell r="CK99">
            <v>21.099999999999998</v>
          </cell>
          <cell r="CL99">
            <v>1.2</v>
          </cell>
          <cell r="CM99">
            <v>0.89999999999999991</v>
          </cell>
          <cell r="CN99">
            <v>0.70000000000000007</v>
          </cell>
          <cell r="CO99">
            <v>78.400000000000006</v>
          </cell>
          <cell r="CP99">
            <v>27.800000000000004</v>
          </cell>
          <cell r="CQ99">
            <v>29.299999999999997</v>
          </cell>
          <cell r="CR99">
            <v>7.7</v>
          </cell>
          <cell r="CS99">
            <v>35.299999999999997</v>
          </cell>
          <cell r="CT99">
            <v>14.799999999999999</v>
          </cell>
          <cell r="CU99">
            <v>85.2</v>
          </cell>
          <cell r="CV99">
            <v>17.8</v>
          </cell>
          <cell r="CW99">
            <v>82.199999999999989</v>
          </cell>
          <cell r="CX99">
            <v>15.1</v>
          </cell>
          <cell r="CY99">
            <v>20.8</v>
          </cell>
          <cell r="CZ99">
            <v>64.099999999999994</v>
          </cell>
          <cell r="DA99">
            <v>18.8</v>
          </cell>
          <cell r="DB99">
            <v>2.8000000000000003</v>
          </cell>
          <cell r="DC99">
            <v>4.9000000000000004</v>
          </cell>
          <cell r="DD99">
            <v>0</v>
          </cell>
          <cell r="DE99">
            <v>80.600000000000009</v>
          </cell>
          <cell r="DF99">
            <v>27.400000000000002</v>
          </cell>
          <cell r="DG99">
            <v>6.4</v>
          </cell>
          <cell r="DH99">
            <v>12.9</v>
          </cell>
          <cell r="DI99">
            <v>10.299999999999999</v>
          </cell>
          <cell r="DJ99">
            <v>17.399999999999999</v>
          </cell>
          <cell r="DK99">
            <v>25.5</v>
          </cell>
          <cell r="DL99">
            <v>26.6</v>
          </cell>
          <cell r="DM99">
            <v>39.300000000000004</v>
          </cell>
          <cell r="DN99">
            <v>7.3</v>
          </cell>
          <cell r="DO99">
            <v>16.8</v>
          </cell>
          <cell r="DP99">
            <v>5.4</v>
          </cell>
          <cell r="DQ99">
            <v>1</v>
          </cell>
          <cell r="DR99">
            <v>4</v>
          </cell>
          <cell r="DS99">
            <v>12.6</v>
          </cell>
          <cell r="DT99">
            <v>21.099999999999998</v>
          </cell>
          <cell r="DU99" t="str">
            <v>nd</v>
          </cell>
          <cell r="DV99" t="str">
            <v>nd</v>
          </cell>
          <cell r="DW99">
            <v>0</v>
          </cell>
          <cell r="DX99">
            <v>0</v>
          </cell>
          <cell r="DY99">
            <v>0.82614999999999994</v>
          </cell>
          <cell r="DZ99">
            <v>2.44286</v>
          </cell>
          <cell r="EA99">
            <v>1.36663</v>
          </cell>
          <cell r="EB99">
            <v>1.6798</v>
          </cell>
          <cell r="EC99">
            <v>3.3123899999999997</v>
          </cell>
          <cell r="ED99">
            <v>2.5529699999999997</v>
          </cell>
          <cell r="EE99">
            <v>0.35118900000000003</v>
          </cell>
          <cell r="EF99">
            <v>15.864963200000002</v>
          </cell>
          <cell r="EG99">
            <v>2.3516499999999998</v>
          </cell>
          <cell r="EH99">
            <v>2.0972900000000001</v>
          </cell>
          <cell r="EI99">
            <v>1.093</v>
          </cell>
          <cell r="EJ99">
            <v>2.5657699999999997</v>
          </cell>
          <cell r="EK99">
            <v>3.1693399999999996</v>
          </cell>
          <cell r="EL99">
            <v>37.385798799999996</v>
          </cell>
          <cell r="EM99">
            <v>3.2309400000000004</v>
          </cell>
          <cell r="EN99">
            <v>2.21197</v>
          </cell>
          <cell r="EO99">
            <v>0.99075000000000002</v>
          </cell>
          <cell r="EP99">
            <v>0.71170299999999997</v>
          </cell>
          <cell r="EQ99">
            <v>5.6074099999999998</v>
          </cell>
          <cell r="ER99">
            <v>5.0781299999999998</v>
          </cell>
          <cell r="ES99">
            <v>1.7234900000000002</v>
          </cell>
          <cell r="ET99" t="str">
            <v>nd</v>
          </cell>
          <cell r="EU99">
            <v>0</v>
          </cell>
          <cell r="EV99" t="str">
            <v>nd</v>
          </cell>
          <cell r="EW99">
            <v>2.2833399999999999</v>
          </cell>
          <cell r="EX99" t="str">
            <v>nd</v>
          </cell>
          <cell r="EY99" t="str">
            <v>nd</v>
          </cell>
          <cell r="EZ99">
            <v>0</v>
          </cell>
          <cell r="FA99">
            <v>0</v>
          </cell>
          <cell r="FB99">
            <v>0.76466499999999993</v>
          </cell>
          <cell r="FC99">
            <v>0.50742299999999996</v>
          </cell>
          <cell r="FD99">
            <v>2.7130399999999999</v>
          </cell>
          <cell r="FE99">
            <v>0.59068500000000002</v>
          </cell>
          <cell r="FF99">
            <v>1.85067</v>
          </cell>
          <cell r="FG99">
            <v>2.2069899999999998</v>
          </cell>
          <cell r="FH99">
            <v>4.5103099999999996</v>
          </cell>
          <cell r="FI99">
            <v>3.7434799999999999</v>
          </cell>
          <cell r="FJ99">
            <v>1.6562400000000002</v>
          </cell>
          <cell r="FK99">
            <v>2.9252199999999999</v>
          </cell>
          <cell r="FL99">
            <v>2.3609599999999999</v>
          </cell>
          <cell r="FM99">
            <v>8.1692815999999997</v>
          </cell>
          <cell r="FN99">
            <v>8.0222696999999989</v>
          </cell>
          <cell r="FO99">
            <v>3.75787</v>
          </cell>
          <cell r="FP99">
            <v>2.1520999999999999</v>
          </cell>
          <cell r="FQ99">
            <v>2.6584300000000001</v>
          </cell>
          <cell r="FR99">
            <v>5.5263600000000004</v>
          </cell>
          <cell r="FS99">
            <v>10.133252800000001</v>
          </cell>
          <cell r="FT99">
            <v>26.369768500000003</v>
          </cell>
          <cell r="FU99">
            <v>0</v>
          </cell>
          <cell r="FV99">
            <v>0.53480899999999998</v>
          </cell>
          <cell r="FW99">
            <v>0.98958999999999997</v>
          </cell>
          <cell r="FX99" t="str">
            <v>nd</v>
          </cell>
          <cell r="FY99">
            <v>3.5826099999999999</v>
          </cell>
          <cell r="FZ99">
            <v>3.2619899999999999</v>
          </cell>
          <cell r="GA99">
            <v>0.82421</v>
          </cell>
          <cell r="GB99">
            <v>0</v>
          </cell>
          <cell r="GC99">
            <v>0</v>
          </cell>
          <cell r="GD99">
            <v>0</v>
          </cell>
          <cell r="GE99">
            <v>0.48272699999999996</v>
          </cell>
          <cell r="GF99">
            <v>1.3835</v>
          </cell>
          <cell r="GG99">
            <v>0.453907</v>
          </cell>
          <cell r="GH99">
            <v>1.6961400000000002</v>
          </cell>
          <cell r="GI99">
            <v>1.7744200000000001</v>
          </cell>
          <cell r="GJ99">
            <v>2.9512199999999997</v>
          </cell>
          <cell r="GK99">
            <v>3.6923499999999998</v>
          </cell>
          <cell r="GL99" t="str">
            <v>nd</v>
          </cell>
          <cell r="GM99">
            <v>0.53368699999999991</v>
          </cell>
          <cell r="GN99">
            <v>1.8616000000000001</v>
          </cell>
          <cell r="GO99">
            <v>1.0486799999999998</v>
          </cell>
          <cell r="GP99">
            <v>5.0034400000000003</v>
          </cell>
          <cell r="GQ99">
            <v>18.343304799999999</v>
          </cell>
          <cell r="GR99">
            <v>0</v>
          </cell>
          <cell r="GS99">
            <v>0</v>
          </cell>
          <cell r="GT99">
            <v>0</v>
          </cell>
          <cell r="GU99" t="str">
            <v>nd</v>
          </cell>
          <cell r="GV99">
            <v>4.1696499999999999</v>
          </cell>
          <cell r="GW99">
            <v>46.132994500000002</v>
          </cell>
          <cell r="GX99">
            <v>0</v>
          </cell>
          <cell r="GY99">
            <v>0</v>
          </cell>
          <cell r="GZ99">
            <v>0</v>
          </cell>
          <cell r="HA99" t="str">
            <v>nd</v>
          </cell>
          <cell r="HB99" t="str">
            <v>nd</v>
          </cell>
          <cell r="HC99">
            <v>8.0722223999999994</v>
          </cell>
          <cell r="HD99">
            <v>0</v>
          </cell>
          <cell r="HE99">
            <v>0.93019999999999992</v>
          </cell>
          <cell r="HF99">
            <v>0</v>
          </cell>
          <cell r="HG99">
            <v>0</v>
          </cell>
          <cell r="HH99" t="str">
            <v>nd</v>
          </cell>
          <cell r="HI99">
            <v>0</v>
          </cell>
          <cell r="HJ99">
            <v>0</v>
          </cell>
          <cell r="HK99">
            <v>0</v>
          </cell>
          <cell r="HL99">
            <v>0</v>
          </cell>
          <cell r="HM99">
            <v>2.8670100000000001</v>
          </cell>
          <cell r="HN99">
            <v>7.8481021000000002</v>
          </cell>
          <cell r="HO99">
            <v>0</v>
          </cell>
          <cell r="HP99">
            <v>0</v>
          </cell>
          <cell r="HQ99">
            <v>0</v>
          </cell>
          <cell r="HR99" t="str">
            <v>nd</v>
          </cell>
          <cell r="HS99">
            <v>8.7254544999999997</v>
          </cell>
          <cell r="HT99">
            <v>18.8743531</v>
          </cell>
          <cell r="HU99">
            <v>0</v>
          </cell>
          <cell r="HV99">
            <v>0</v>
          </cell>
          <cell r="HW99">
            <v>0</v>
          </cell>
          <cell r="HX99">
            <v>0.49459500000000001</v>
          </cell>
          <cell r="HY99">
            <v>12.854783599999999</v>
          </cell>
          <cell r="HZ99">
            <v>37.564036799999997</v>
          </cell>
          <cell r="IA99">
            <v>0</v>
          </cell>
          <cell r="IB99">
            <v>0</v>
          </cell>
          <cell r="IC99">
            <v>0</v>
          </cell>
          <cell r="ID99">
            <v>0</v>
          </cell>
          <cell r="IE99">
            <v>2.5175900000000002</v>
          </cell>
          <cell r="IF99">
            <v>6.4870141000000006</v>
          </cell>
          <cell r="IG99">
            <v>0</v>
          </cell>
          <cell r="IH99" t="str">
            <v>nd</v>
          </cell>
          <cell r="II99">
            <v>0</v>
          </cell>
          <cell r="IJ99">
            <v>0</v>
          </cell>
          <cell r="IK99">
            <v>0.68809699999999996</v>
          </cell>
          <cell r="IL99">
            <v>0</v>
          </cell>
          <cell r="IM99">
            <v>0</v>
          </cell>
          <cell r="IN99" t="str">
            <v>nd</v>
          </cell>
          <cell r="IO99">
            <v>2.17421</v>
          </cell>
          <cell r="IP99">
            <v>3.4683100000000002</v>
          </cell>
          <cell r="IQ99">
            <v>5.7079800000000001</v>
          </cell>
          <cell r="IR99">
            <v>0</v>
          </cell>
          <cell r="IS99">
            <v>0</v>
          </cell>
          <cell r="IT99" t="str">
            <v>nd</v>
          </cell>
          <cell r="IU99">
            <v>3.2070000000000003</v>
          </cell>
          <cell r="IV99">
            <v>12.6229329</v>
          </cell>
          <cell r="IW99">
            <v>12.610834500000001</v>
          </cell>
          <cell r="IX99">
            <v>0</v>
          </cell>
          <cell r="IY99">
            <v>0</v>
          </cell>
          <cell r="IZ99">
            <v>0</v>
          </cell>
          <cell r="JA99">
            <v>2.7737799999999999</v>
          </cell>
          <cell r="JB99">
            <v>17.341177200000001</v>
          </cell>
          <cell r="JC99">
            <v>29.827557500000001</v>
          </cell>
          <cell r="JD99">
            <v>0</v>
          </cell>
          <cell r="JE99">
            <v>0</v>
          </cell>
          <cell r="JF99">
            <v>0</v>
          </cell>
          <cell r="JG99">
            <v>0</v>
          </cell>
          <cell r="JH99">
            <v>3.42557</v>
          </cell>
          <cell r="JI99">
            <v>5.5550199999999998</v>
          </cell>
          <cell r="JJ99">
            <v>0</v>
          </cell>
          <cell r="JK99">
            <v>0</v>
          </cell>
          <cell r="JL99">
            <v>0</v>
          </cell>
          <cell r="JM99">
            <v>0</v>
          </cell>
          <cell r="JN99">
            <v>1.33029</v>
          </cell>
          <cell r="JO99">
            <v>0</v>
          </cell>
          <cell r="JP99">
            <v>0</v>
          </cell>
          <cell r="JQ99">
            <v>0</v>
          </cell>
          <cell r="JR99">
            <v>0</v>
          </cell>
          <cell r="JS99">
            <v>0</v>
          </cell>
          <cell r="JT99">
            <v>11.078631</v>
          </cell>
          <cell r="JU99">
            <v>0</v>
          </cell>
          <cell r="JV99">
            <v>0</v>
          </cell>
          <cell r="JW99">
            <v>0</v>
          </cell>
          <cell r="JX99">
            <v>0</v>
          </cell>
          <cell r="JY99" t="str">
            <v>nd</v>
          </cell>
          <cell r="JZ99">
            <v>27.387631899999999</v>
          </cell>
          <cell r="KA99">
            <v>0</v>
          </cell>
          <cell r="KB99">
            <v>0</v>
          </cell>
          <cell r="KC99">
            <v>0</v>
          </cell>
          <cell r="KD99" t="str">
            <v>nd</v>
          </cell>
          <cell r="KE99" t="str">
            <v>nd</v>
          </cell>
          <cell r="KF99">
            <v>50.375029900000001</v>
          </cell>
          <cell r="KG99">
            <v>0</v>
          </cell>
          <cell r="KH99">
            <v>0</v>
          </cell>
          <cell r="KI99">
            <v>0</v>
          </cell>
          <cell r="KJ99">
            <v>0</v>
          </cell>
          <cell r="KK99" t="str">
            <v>nd</v>
          </cell>
          <cell r="KL99">
            <v>8.9818913000000009</v>
          </cell>
          <cell r="KM99">
            <v>66.600000000000009</v>
          </cell>
          <cell r="KN99">
            <v>21</v>
          </cell>
          <cell r="KO99">
            <v>5.7</v>
          </cell>
          <cell r="KP99">
            <v>2.2999999999999998</v>
          </cell>
          <cell r="KQ99">
            <v>4.3</v>
          </cell>
          <cell r="KR99">
            <v>0.1</v>
          </cell>
          <cell r="KS99">
            <v>66.100000000000009</v>
          </cell>
          <cell r="KT99">
            <v>21</v>
          </cell>
          <cell r="KU99">
            <v>5.7</v>
          </cell>
          <cell r="KV99">
            <v>2.2999999999999998</v>
          </cell>
          <cell r="KW99">
            <v>4.8</v>
          </cell>
          <cell r="KX99">
            <v>0.1</v>
          </cell>
          <cell r="KY99"/>
          <cell r="KZ99"/>
          <cell r="LA99"/>
          <cell r="LB99"/>
          <cell r="LC99"/>
          <cell r="LD99"/>
          <cell r="LE99"/>
          <cell r="LF99"/>
          <cell r="LG99"/>
          <cell r="LH99"/>
          <cell r="LI99"/>
          <cell r="LJ99"/>
          <cell r="LK99"/>
          <cell r="LL99"/>
          <cell r="LM99"/>
          <cell r="LN99"/>
          <cell r="LO99"/>
        </row>
        <row r="100">
          <cell r="A100" t="str">
            <v>2MN</v>
          </cell>
          <cell r="B100" t="str">
            <v>100</v>
          </cell>
          <cell r="C100" t="str">
            <v>NAF 17</v>
          </cell>
          <cell r="D100" t="str">
            <v>MN</v>
          </cell>
          <cell r="E100" t="str">
            <v>2</v>
          </cell>
          <cell r="F100">
            <v>1</v>
          </cell>
          <cell r="G100">
            <v>13.900000000000002</v>
          </cell>
          <cell r="H100">
            <v>33.6</v>
          </cell>
          <cell r="I100">
            <v>43.1</v>
          </cell>
          <cell r="J100">
            <v>8.5</v>
          </cell>
          <cell r="K100">
            <v>71.599999999999994</v>
          </cell>
          <cell r="L100">
            <v>21.2</v>
          </cell>
          <cell r="M100">
            <v>2.7</v>
          </cell>
          <cell r="N100">
            <v>4.5999999999999996</v>
          </cell>
          <cell r="O100">
            <v>33</v>
          </cell>
          <cell r="P100">
            <v>24.3</v>
          </cell>
          <cell r="Q100">
            <v>8.6999999999999993</v>
          </cell>
          <cell r="R100">
            <v>7.9</v>
          </cell>
          <cell r="S100">
            <v>10.9</v>
          </cell>
          <cell r="T100">
            <v>38</v>
          </cell>
          <cell r="U100">
            <v>10</v>
          </cell>
          <cell r="V100">
            <v>24.7</v>
          </cell>
          <cell r="W100">
            <v>17.100000000000001</v>
          </cell>
          <cell r="X100">
            <v>77.900000000000006</v>
          </cell>
          <cell r="Y100">
            <v>5</v>
          </cell>
          <cell r="Z100">
            <v>5.8000000000000007</v>
          </cell>
          <cell r="AA100">
            <v>42.3</v>
          </cell>
          <cell r="AB100">
            <v>9</v>
          </cell>
          <cell r="AC100">
            <v>57.699999999999996</v>
          </cell>
          <cell r="AD100">
            <v>25</v>
          </cell>
          <cell r="AE100">
            <v>56.100000000000009</v>
          </cell>
          <cell r="AF100">
            <v>43.9</v>
          </cell>
          <cell r="AG100">
            <v>37.799999999999997</v>
          </cell>
          <cell r="AH100">
            <v>62.2</v>
          </cell>
          <cell r="AI100">
            <v>56.100000000000009</v>
          </cell>
          <cell r="AJ100">
            <v>11</v>
          </cell>
          <cell r="AK100">
            <v>2.4</v>
          </cell>
          <cell r="AL100">
            <v>19</v>
          </cell>
          <cell r="AM100">
            <v>11.600000000000001</v>
          </cell>
          <cell r="AN100">
            <v>9.6</v>
          </cell>
          <cell r="AO100">
            <v>2.1999999999999997</v>
          </cell>
          <cell r="AP100">
            <v>5.0999999999999996</v>
          </cell>
          <cell r="AQ100">
            <v>77.400000000000006</v>
          </cell>
          <cell r="AR100">
            <v>5.8000000000000007</v>
          </cell>
          <cell r="AS100">
            <v>56.8</v>
          </cell>
          <cell r="AT100">
            <v>14.399999999999999</v>
          </cell>
          <cell r="AU100">
            <v>6.2</v>
          </cell>
          <cell r="AV100">
            <v>10.299999999999999</v>
          </cell>
          <cell r="AW100">
            <v>5.7</v>
          </cell>
          <cell r="AX100">
            <v>6.5</v>
          </cell>
          <cell r="AY100">
            <v>6.4</v>
          </cell>
          <cell r="AZ100">
            <v>10</v>
          </cell>
          <cell r="BA100">
            <v>10</v>
          </cell>
          <cell r="BB100">
            <v>11.700000000000001</v>
          </cell>
          <cell r="BC100">
            <v>24.7</v>
          </cell>
          <cell r="BD100">
            <v>37.299999999999997</v>
          </cell>
          <cell r="BE100">
            <v>2.6</v>
          </cell>
          <cell r="BF100">
            <v>0.70000000000000007</v>
          </cell>
          <cell r="BG100">
            <v>4.3</v>
          </cell>
          <cell r="BH100">
            <v>7.8</v>
          </cell>
          <cell r="BI100">
            <v>24.6</v>
          </cell>
          <cell r="BJ100">
            <v>60</v>
          </cell>
          <cell r="BK100">
            <v>0</v>
          </cell>
          <cell r="BL100">
            <v>0</v>
          </cell>
          <cell r="BM100" t="str">
            <v>nd</v>
          </cell>
          <cell r="BN100">
            <v>3.3000000000000003</v>
          </cell>
          <cell r="BO100">
            <v>47.9</v>
          </cell>
          <cell r="BP100">
            <v>48.699999999999996</v>
          </cell>
          <cell r="BQ100" t="str">
            <v>nd</v>
          </cell>
          <cell r="BR100" t="str">
            <v>nd</v>
          </cell>
          <cell r="BS100">
            <v>1.6</v>
          </cell>
          <cell r="BT100">
            <v>9.3000000000000007</v>
          </cell>
          <cell r="BU100">
            <v>44.5</v>
          </cell>
          <cell r="BV100">
            <v>43</v>
          </cell>
          <cell r="BW100">
            <v>0</v>
          </cell>
          <cell r="BX100">
            <v>0</v>
          </cell>
          <cell r="BY100">
            <v>0</v>
          </cell>
          <cell r="BZ100">
            <v>0</v>
          </cell>
          <cell r="CA100">
            <v>1.0999999999999999</v>
          </cell>
          <cell r="CB100">
            <v>98.9</v>
          </cell>
          <cell r="CC100">
            <v>12.6</v>
          </cell>
          <cell r="CD100">
            <v>7.5</v>
          </cell>
          <cell r="CE100" t="str">
            <v>nd</v>
          </cell>
          <cell r="CF100">
            <v>0.8</v>
          </cell>
          <cell r="CG100">
            <v>0</v>
          </cell>
          <cell r="CH100">
            <v>19.8</v>
          </cell>
          <cell r="CI100">
            <v>11.1</v>
          </cell>
          <cell r="CJ100">
            <v>66.5</v>
          </cell>
          <cell r="CK100">
            <v>29.2</v>
          </cell>
          <cell r="CL100">
            <v>2</v>
          </cell>
          <cell r="CM100">
            <v>0.89999999999999991</v>
          </cell>
          <cell r="CN100">
            <v>1</v>
          </cell>
          <cell r="CO100">
            <v>69.199999999999989</v>
          </cell>
          <cell r="CP100">
            <v>27.400000000000002</v>
          </cell>
          <cell r="CQ100">
            <v>26.200000000000003</v>
          </cell>
          <cell r="CR100">
            <v>11.899999999999999</v>
          </cell>
          <cell r="CS100">
            <v>34.4</v>
          </cell>
          <cell r="CT100">
            <v>16.400000000000002</v>
          </cell>
          <cell r="CU100">
            <v>83.6</v>
          </cell>
          <cell r="CV100">
            <v>21.4</v>
          </cell>
          <cell r="CW100">
            <v>78.600000000000009</v>
          </cell>
          <cell r="CX100">
            <v>16.400000000000002</v>
          </cell>
          <cell r="CY100">
            <v>19.8</v>
          </cell>
          <cell r="CZ100">
            <v>63.800000000000004</v>
          </cell>
          <cell r="DA100">
            <v>18</v>
          </cell>
          <cell r="DB100">
            <v>8.6999999999999993</v>
          </cell>
          <cell r="DC100">
            <v>5</v>
          </cell>
          <cell r="DD100" t="str">
            <v>nd</v>
          </cell>
          <cell r="DE100">
            <v>74.5</v>
          </cell>
          <cell r="DF100">
            <v>19.900000000000002</v>
          </cell>
          <cell r="DG100">
            <v>7.1</v>
          </cell>
          <cell r="DH100">
            <v>18.8</v>
          </cell>
          <cell r="DI100">
            <v>13.4</v>
          </cell>
          <cell r="DJ100">
            <v>21.7</v>
          </cell>
          <cell r="DK100">
            <v>19.2</v>
          </cell>
          <cell r="DL100">
            <v>26.6</v>
          </cell>
          <cell r="DM100">
            <v>41.3</v>
          </cell>
          <cell r="DN100">
            <v>6.2</v>
          </cell>
          <cell r="DO100">
            <v>19.100000000000001</v>
          </cell>
          <cell r="DP100">
            <v>9</v>
          </cell>
          <cell r="DQ100">
            <v>2.1</v>
          </cell>
          <cell r="DR100">
            <v>6.1</v>
          </cell>
          <cell r="DS100">
            <v>13.600000000000001</v>
          </cell>
          <cell r="DT100">
            <v>19.8</v>
          </cell>
          <cell r="DU100" t="str">
            <v>nd</v>
          </cell>
          <cell r="DV100" t="str">
            <v>nd</v>
          </cell>
          <cell r="DW100">
            <v>0</v>
          </cell>
          <cell r="DX100" t="str">
            <v>nd</v>
          </cell>
          <cell r="DY100" t="str">
            <v>nd</v>
          </cell>
          <cell r="DZ100">
            <v>3.3043299999999998</v>
          </cell>
          <cell r="EA100">
            <v>2.8322400000000001</v>
          </cell>
          <cell r="EB100">
            <v>1.6370400000000001</v>
          </cell>
          <cell r="EC100">
            <v>4.0979399999999995</v>
          </cell>
          <cell r="ED100">
            <v>1.7069000000000001</v>
          </cell>
          <cell r="EE100">
            <v>0.60399399999999992</v>
          </cell>
          <cell r="EF100">
            <v>14.9903222</v>
          </cell>
          <cell r="EG100">
            <v>6.8899816000000005</v>
          </cell>
          <cell r="EH100">
            <v>2.86246</v>
          </cell>
          <cell r="EI100">
            <v>3.4168600000000002</v>
          </cell>
          <cell r="EJ100">
            <v>1.75797</v>
          </cell>
          <cell r="EK100">
            <v>3.4518</v>
          </cell>
          <cell r="EL100">
            <v>31.481827499999998</v>
          </cell>
          <cell r="EM100">
            <v>3.6093100000000002</v>
          </cell>
          <cell r="EN100">
            <v>1.57599</v>
          </cell>
          <cell r="EO100">
            <v>2.2888999999999999</v>
          </cell>
          <cell r="EP100">
            <v>2.0758100000000002</v>
          </cell>
          <cell r="EQ100">
            <v>1.7752699999999999</v>
          </cell>
          <cell r="ER100">
            <v>6.8046714999999995</v>
          </cell>
          <cell r="ES100" t="str">
            <v>nd</v>
          </cell>
          <cell r="ET100" t="str">
            <v>nd</v>
          </cell>
          <cell r="EU100" t="str">
            <v>nd</v>
          </cell>
          <cell r="EV100">
            <v>0</v>
          </cell>
          <cell r="EW100" t="str">
            <v>nd</v>
          </cell>
          <cell r="EX100" t="str">
            <v>nd</v>
          </cell>
          <cell r="EY100" t="str">
            <v>nd</v>
          </cell>
          <cell r="EZ100">
            <v>0</v>
          </cell>
          <cell r="FA100">
            <v>0</v>
          </cell>
          <cell r="FB100" t="str">
            <v>nd</v>
          </cell>
          <cell r="FC100">
            <v>0.85865999999999998</v>
          </cell>
          <cell r="FD100">
            <v>2.26817</v>
          </cell>
          <cell r="FE100">
            <v>2.5007600000000001</v>
          </cell>
          <cell r="FF100">
            <v>0.54246299999999992</v>
          </cell>
          <cell r="FG100">
            <v>3.9696099999999999</v>
          </cell>
          <cell r="FH100">
            <v>3.5952400000000004</v>
          </cell>
          <cell r="FI100">
            <v>2.6007899999999999</v>
          </cell>
          <cell r="FJ100">
            <v>2.8793500000000001</v>
          </cell>
          <cell r="FK100">
            <v>4.7688300000000003</v>
          </cell>
          <cell r="FL100">
            <v>4.0407700000000002</v>
          </cell>
          <cell r="FM100">
            <v>6.8129942999999997</v>
          </cell>
          <cell r="FN100">
            <v>12.327840199999999</v>
          </cell>
          <cell r="FO100">
            <v>2.35364</v>
          </cell>
          <cell r="FP100">
            <v>3.9987799999999996</v>
          </cell>
          <cell r="FQ100">
            <v>2.1528999999999998</v>
          </cell>
          <cell r="FR100">
            <v>5.0678800000000006</v>
          </cell>
          <cell r="FS100">
            <v>11.403283999999999</v>
          </cell>
          <cell r="FT100">
            <v>18.354006399999999</v>
          </cell>
          <cell r="FU100">
            <v>0.57314200000000004</v>
          </cell>
          <cell r="FV100" t="str">
            <v>nd</v>
          </cell>
          <cell r="FW100">
            <v>0.63270899999999997</v>
          </cell>
          <cell r="FX100">
            <v>2.0324999999999998</v>
          </cell>
          <cell r="FY100">
            <v>2.0087700000000002</v>
          </cell>
          <cell r="FZ100">
            <v>2.8888600000000002</v>
          </cell>
          <cell r="GA100" t="str">
            <v>nd</v>
          </cell>
          <cell r="GB100" t="str">
            <v>nd</v>
          </cell>
          <cell r="GC100">
            <v>0</v>
          </cell>
          <cell r="GD100">
            <v>0</v>
          </cell>
          <cell r="GE100">
            <v>0</v>
          </cell>
          <cell r="GF100" t="str">
            <v>nd</v>
          </cell>
          <cell r="GG100">
            <v>0.60950800000000005</v>
          </cell>
          <cell r="GH100">
            <v>2.77155</v>
          </cell>
          <cell r="GI100">
            <v>2.6789400000000003</v>
          </cell>
          <cell r="GJ100">
            <v>3.9875099999999994</v>
          </cell>
          <cell r="GK100">
            <v>4.37784</v>
          </cell>
          <cell r="GL100" t="str">
            <v>nd</v>
          </cell>
          <cell r="GM100" t="str">
            <v>nd</v>
          </cell>
          <cell r="GN100">
            <v>1.51894</v>
          </cell>
          <cell r="GO100">
            <v>4.6011999999999995</v>
          </cell>
          <cell r="GP100">
            <v>11.6563605</v>
          </cell>
          <cell r="GQ100">
            <v>14.625995699999999</v>
          </cell>
          <cell r="GR100">
            <v>1.1392800000000001</v>
          </cell>
          <cell r="GS100">
            <v>0</v>
          </cell>
          <cell r="GT100">
            <v>0</v>
          </cell>
          <cell r="GU100">
            <v>0.55302099999999998</v>
          </cell>
          <cell r="GV100">
            <v>8.6642013999999996</v>
          </cell>
          <cell r="GW100">
            <v>32.443395299999999</v>
          </cell>
          <cell r="GX100">
            <v>0</v>
          </cell>
          <cell r="GY100">
            <v>0</v>
          </cell>
          <cell r="GZ100">
            <v>0</v>
          </cell>
          <cell r="HA100">
            <v>0</v>
          </cell>
          <cell r="HB100" t="str">
            <v>nd</v>
          </cell>
          <cell r="HC100">
            <v>8.3399880999999993</v>
          </cell>
          <cell r="HD100">
            <v>0</v>
          </cell>
          <cell r="HE100" t="str">
            <v>nd</v>
          </cell>
          <cell r="HF100">
            <v>0</v>
          </cell>
          <cell r="HG100">
            <v>0</v>
          </cell>
          <cell r="HH100" t="str">
            <v>nd</v>
          </cell>
          <cell r="HI100">
            <v>0</v>
          </cell>
          <cell r="HJ100">
            <v>0</v>
          </cell>
          <cell r="HK100">
            <v>0</v>
          </cell>
          <cell r="HL100" t="str">
            <v>nd</v>
          </cell>
          <cell r="HM100">
            <v>5.5589699999999995</v>
          </cell>
          <cell r="HN100">
            <v>8.2556826000000001</v>
          </cell>
          <cell r="HO100">
            <v>0</v>
          </cell>
          <cell r="HP100">
            <v>0</v>
          </cell>
          <cell r="HQ100">
            <v>0</v>
          </cell>
          <cell r="HR100">
            <v>2.03552</v>
          </cell>
          <cell r="HS100">
            <v>19.412845000000001</v>
          </cell>
          <cell r="HT100">
            <v>12.603813199999999</v>
          </cell>
          <cell r="HU100">
            <v>0</v>
          </cell>
          <cell r="HV100">
            <v>0</v>
          </cell>
          <cell r="HW100" t="str">
            <v>nd</v>
          </cell>
          <cell r="HX100">
            <v>0.44756500000000005</v>
          </cell>
          <cell r="HY100">
            <v>20.211598200000001</v>
          </cell>
          <cell r="HZ100">
            <v>21.113524399999999</v>
          </cell>
          <cell r="IA100">
            <v>0</v>
          </cell>
          <cell r="IB100">
            <v>0</v>
          </cell>
          <cell r="IC100">
            <v>0</v>
          </cell>
          <cell r="ID100" t="str">
            <v>nd</v>
          </cell>
          <cell r="IE100">
            <v>2.6741299999999999</v>
          </cell>
          <cell r="IF100">
            <v>5.9798200000000001</v>
          </cell>
          <cell r="IG100">
            <v>0</v>
          </cell>
          <cell r="IH100" t="str">
            <v>nd</v>
          </cell>
          <cell r="II100" t="str">
            <v>nd</v>
          </cell>
          <cell r="IJ100">
            <v>0</v>
          </cell>
          <cell r="IK100" t="str">
            <v>nd</v>
          </cell>
          <cell r="IL100" t="str">
            <v>nd</v>
          </cell>
          <cell r="IM100" t="str">
            <v>nd</v>
          </cell>
          <cell r="IN100">
            <v>0</v>
          </cell>
          <cell r="IO100">
            <v>2.2762099999999998</v>
          </cell>
          <cell r="IP100">
            <v>5.3680899999999996</v>
          </cell>
          <cell r="IQ100">
            <v>5.1419100000000002</v>
          </cell>
          <cell r="IR100">
            <v>0</v>
          </cell>
          <cell r="IS100">
            <v>0</v>
          </cell>
          <cell r="IT100">
            <v>0.68328</v>
          </cell>
          <cell r="IU100">
            <v>4.2752600000000003</v>
          </cell>
          <cell r="IV100">
            <v>15.563381900000001</v>
          </cell>
          <cell r="IW100">
            <v>12.725169299999999</v>
          </cell>
          <cell r="IX100">
            <v>0</v>
          </cell>
          <cell r="IY100">
            <v>0</v>
          </cell>
          <cell r="IZ100">
            <v>0.670844</v>
          </cell>
          <cell r="JA100">
            <v>2.4097899999999997</v>
          </cell>
          <cell r="JB100">
            <v>18.362288800000002</v>
          </cell>
          <cell r="JC100">
            <v>21.386629600000003</v>
          </cell>
          <cell r="JD100">
            <v>0</v>
          </cell>
          <cell r="JE100">
            <v>0</v>
          </cell>
          <cell r="JF100">
            <v>0</v>
          </cell>
          <cell r="JG100" t="str">
            <v>nd</v>
          </cell>
          <cell r="JH100">
            <v>4.6242000000000001</v>
          </cell>
          <cell r="JI100">
            <v>3.9032200000000001</v>
          </cell>
          <cell r="JJ100">
            <v>0</v>
          </cell>
          <cell r="JK100">
            <v>0</v>
          </cell>
          <cell r="JL100">
            <v>0</v>
          </cell>
          <cell r="JM100">
            <v>0</v>
          </cell>
          <cell r="JN100">
            <v>0.75549199999999994</v>
          </cell>
          <cell r="JO100">
            <v>0</v>
          </cell>
          <cell r="JP100">
            <v>0</v>
          </cell>
          <cell r="JQ100">
            <v>0</v>
          </cell>
          <cell r="JR100">
            <v>0</v>
          </cell>
          <cell r="JS100" t="str">
            <v>nd</v>
          </cell>
          <cell r="JT100">
            <v>14.351593600000001</v>
          </cell>
          <cell r="JU100">
            <v>0</v>
          </cell>
          <cell r="JV100">
            <v>0</v>
          </cell>
          <cell r="JW100">
            <v>0</v>
          </cell>
          <cell r="JX100">
            <v>0</v>
          </cell>
          <cell r="JY100" t="str">
            <v>nd</v>
          </cell>
          <cell r="JZ100">
            <v>33.368734700000005</v>
          </cell>
          <cell r="KA100">
            <v>0</v>
          </cell>
          <cell r="KB100">
            <v>0</v>
          </cell>
          <cell r="KC100">
            <v>0</v>
          </cell>
          <cell r="KD100">
            <v>0</v>
          </cell>
          <cell r="KE100" t="str">
            <v>nd</v>
          </cell>
          <cell r="KF100">
            <v>41.5852237</v>
          </cell>
          <cell r="KG100">
            <v>0</v>
          </cell>
          <cell r="KH100">
            <v>0</v>
          </cell>
          <cell r="KI100">
            <v>0</v>
          </cell>
          <cell r="KJ100">
            <v>0</v>
          </cell>
          <cell r="KK100">
            <v>0</v>
          </cell>
          <cell r="KL100">
            <v>8.8596801000000003</v>
          </cell>
          <cell r="KM100">
            <v>63.3</v>
          </cell>
          <cell r="KN100">
            <v>19.5</v>
          </cell>
          <cell r="KO100">
            <v>7.3</v>
          </cell>
          <cell r="KP100">
            <v>3.5999999999999996</v>
          </cell>
          <cell r="KQ100">
            <v>6</v>
          </cell>
          <cell r="KR100">
            <v>0.2</v>
          </cell>
          <cell r="KS100">
            <v>63</v>
          </cell>
          <cell r="KT100">
            <v>19.100000000000001</v>
          </cell>
          <cell r="KU100">
            <v>7.5</v>
          </cell>
          <cell r="KV100">
            <v>3.8</v>
          </cell>
          <cell r="KW100">
            <v>6.4</v>
          </cell>
          <cell r="KX100">
            <v>0.2</v>
          </cell>
          <cell r="KY100"/>
          <cell r="KZ100"/>
          <cell r="LA100"/>
          <cell r="LB100"/>
          <cell r="LC100"/>
          <cell r="LD100"/>
          <cell r="LE100"/>
          <cell r="LF100"/>
          <cell r="LG100"/>
          <cell r="LH100"/>
          <cell r="LI100"/>
          <cell r="LJ100"/>
          <cell r="LK100"/>
          <cell r="LL100"/>
          <cell r="LM100"/>
          <cell r="LN100"/>
          <cell r="LO100"/>
        </row>
        <row r="101">
          <cell r="A101" t="str">
            <v>3MN</v>
          </cell>
          <cell r="B101" t="str">
            <v>101</v>
          </cell>
          <cell r="C101" t="str">
            <v>NAF 17</v>
          </cell>
          <cell r="D101" t="str">
            <v>MN</v>
          </cell>
          <cell r="E101" t="str">
            <v>3</v>
          </cell>
          <cell r="F101">
            <v>2.7</v>
          </cell>
          <cell r="G101">
            <v>10</v>
          </cell>
          <cell r="H101">
            <v>35.799999999999997</v>
          </cell>
          <cell r="I101">
            <v>45</v>
          </cell>
          <cell r="J101">
            <v>6.5</v>
          </cell>
          <cell r="K101">
            <v>64.2</v>
          </cell>
          <cell r="L101">
            <v>29.4</v>
          </cell>
          <cell r="M101">
            <v>1.5</v>
          </cell>
          <cell r="N101">
            <v>5</v>
          </cell>
          <cell r="O101">
            <v>28.7</v>
          </cell>
          <cell r="P101">
            <v>24.5</v>
          </cell>
          <cell r="Q101">
            <v>8.1</v>
          </cell>
          <cell r="R101">
            <v>8.2000000000000011</v>
          </cell>
          <cell r="S101">
            <v>6.3</v>
          </cell>
          <cell r="T101">
            <v>38.4</v>
          </cell>
          <cell r="U101">
            <v>14.7</v>
          </cell>
          <cell r="V101">
            <v>24.2</v>
          </cell>
          <cell r="W101">
            <v>17.399999999999999</v>
          </cell>
          <cell r="X101">
            <v>75.7</v>
          </cell>
          <cell r="Y101">
            <v>6.8000000000000007</v>
          </cell>
          <cell r="Z101">
            <v>3.6999999999999997</v>
          </cell>
          <cell r="AA101">
            <v>52.800000000000004</v>
          </cell>
          <cell r="AB101">
            <v>19.3</v>
          </cell>
          <cell r="AC101">
            <v>49.1</v>
          </cell>
          <cell r="AD101">
            <v>15.5</v>
          </cell>
          <cell r="AE101">
            <v>61.9</v>
          </cell>
          <cell r="AF101">
            <v>38.1</v>
          </cell>
          <cell r="AG101">
            <v>50.2</v>
          </cell>
          <cell r="AH101">
            <v>49.8</v>
          </cell>
          <cell r="AI101">
            <v>46.9</v>
          </cell>
          <cell r="AJ101">
            <v>20.8</v>
          </cell>
          <cell r="AK101">
            <v>1.5</v>
          </cell>
          <cell r="AL101">
            <v>24.2</v>
          </cell>
          <cell r="AM101">
            <v>6.7</v>
          </cell>
          <cell r="AN101">
            <v>9.4</v>
          </cell>
          <cell r="AO101">
            <v>4.3999999999999995</v>
          </cell>
          <cell r="AP101">
            <v>5.2</v>
          </cell>
          <cell r="AQ101">
            <v>74</v>
          </cell>
          <cell r="AR101">
            <v>7.0000000000000009</v>
          </cell>
          <cell r="AS101">
            <v>47</v>
          </cell>
          <cell r="AT101">
            <v>17.5</v>
          </cell>
          <cell r="AU101">
            <v>9.7000000000000011</v>
          </cell>
          <cell r="AV101">
            <v>10</v>
          </cell>
          <cell r="AW101">
            <v>8.9</v>
          </cell>
          <cell r="AX101">
            <v>6.8000000000000007</v>
          </cell>
          <cell r="AY101">
            <v>9.1</v>
          </cell>
          <cell r="AZ101">
            <v>11.3</v>
          </cell>
          <cell r="BA101">
            <v>11.1</v>
          </cell>
          <cell r="BB101">
            <v>10.5</v>
          </cell>
          <cell r="BC101">
            <v>22.400000000000002</v>
          </cell>
          <cell r="BD101">
            <v>35.5</v>
          </cell>
          <cell r="BE101" t="str">
            <v>nd</v>
          </cell>
          <cell r="BF101">
            <v>2.6</v>
          </cell>
          <cell r="BG101">
            <v>2.4</v>
          </cell>
          <cell r="BH101">
            <v>9.8000000000000007</v>
          </cell>
          <cell r="BI101">
            <v>28.999999999999996</v>
          </cell>
          <cell r="BJ101">
            <v>55.7</v>
          </cell>
          <cell r="BK101">
            <v>0</v>
          </cell>
          <cell r="BL101">
            <v>0</v>
          </cell>
          <cell r="BM101">
            <v>0</v>
          </cell>
          <cell r="BN101">
            <v>4.8</v>
          </cell>
          <cell r="BO101">
            <v>60.199999999999996</v>
          </cell>
          <cell r="BP101">
            <v>35</v>
          </cell>
          <cell r="BQ101" t="str">
            <v>nd</v>
          </cell>
          <cell r="BR101">
            <v>1</v>
          </cell>
          <cell r="BS101">
            <v>1.6</v>
          </cell>
          <cell r="BT101">
            <v>10.7</v>
          </cell>
          <cell r="BU101">
            <v>60.5</v>
          </cell>
          <cell r="BV101">
            <v>25.900000000000002</v>
          </cell>
          <cell r="BW101">
            <v>0</v>
          </cell>
          <cell r="BX101">
            <v>0</v>
          </cell>
          <cell r="BY101">
            <v>0</v>
          </cell>
          <cell r="BZ101" t="str">
            <v>nd</v>
          </cell>
          <cell r="CA101">
            <v>1.6</v>
          </cell>
          <cell r="CB101">
            <v>97.899999999999991</v>
          </cell>
          <cell r="CC101">
            <v>6.8000000000000007</v>
          </cell>
          <cell r="CD101">
            <v>8</v>
          </cell>
          <cell r="CE101">
            <v>0.5</v>
          </cell>
          <cell r="CF101">
            <v>1</v>
          </cell>
          <cell r="CG101">
            <v>0</v>
          </cell>
          <cell r="CH101">
            <v>18.8</v>
          </cell>
          <cell r="CI101">
            <v>9.9</v>
          </cell>
          <cell r="CJ101">
            <v>71.5</v>
          </cell>
          <cell r="CK101">
            <v>28.799999999999997</v>
          </cell>
          <cell r="CL101">
            <v>2.4</v>
          </cell>
          <cell r="CM101">
            <v>2.1999999999999997</v>
          </cell>
          <cell r="CN101">
            <v>1.4000000000000001</v>
          </cell>
          <cell r="CO101">
            <v>71.599999999999994</v>
          </cell>
          <cell r="CP101">
            <v>24.3</v>
          </cell>
          <cell r="CQ101">
            <v>28.299999999999997</v>
          </cell>
          <cell r="CR101">
            <v>8.6999999999999993</v>
          </cell>
          <cell r="CS101">
            <v>38.6</v>
          </cell>
          <cell r="CT101">
            <v>17.5</v>
          </cell>
          <cell r="CU101">
            <v>82.5</v>
          </cell>
          <cell r="CV101">
            <v>26.400000000000002</v>
          </cell>
          <cell r="CW101">
            <v>73.599999999999994</v>
          </cell>
          <cell r="CX101">
            <v>20.399999999999999</v>
          </cell>
          <cell r="CY101">
            <v>21.6</v>
          </cell>
          <cell r="CZ101">
            <v>57.999999999999993</v>
          </cell>
          <cell r="DA101">
            <v>17.100000000000001</v>
          </cell>
          <cell r="DB101" t="str">
            <v>nd</v>
          </cell>
          <cell r="DC101">
            <v>12.8</v>
          </cell>
          <cell r="DD101" t="str">
            <v>nd</v>
          </cell>
          <cell r="DE101">
            <v>74.3</v>
          </cell>
          <cell r="DF101">
            <v>23.400000000000002</v>
          </cell>
          <cell r="DG101">
            <v>8.7999999999999989</v>
          </cell>
          <cell r="DH101">
            <v>18</v>
          </cell>
          <cell r="DI101">
            <v>13.600000000000001</v>
          </cell>
          <cell r="DJ101">
            <v>17.2</v>
          </cell>
          <cell r="DK101">
            <v>19</v>
          </cell>
          <cell r="DL101">
            <v>17.399999999999999</v>
          </cell>
          <cell r="DM101">
            <v>43.1</v>
          </cell>
          <cell r="DN101">
            <v>6.6000000000000005</v>
          </cell>
          <cell r="DO101">
            <v>19.8</v>
          </cell>
          <cell r="DP101">
            <v>12.3</v>
          </cell>
          <cell r="DQ101">
            <v>3.2</v>
          </cell>
          <cell r="DR101">
            <v>7.8</v>
          </cell>
          <cell r="DS101">
            <v>18.600000000000001</v>
          </cell>
          <cell r="DT101">
            <v>24.099999999999998</v>
          </cell>
          <cell r="DU101">
            <v>0</v>
          </cell>
          <cell r="DV101" t="str">
            <v>nd</v>
          </cell>
          <cell r="DW101">
            <v>0</v>
          </cell>
          <cell r="DX101" t="str">
            <v>nd</v>
          </cell>
          <cell r="DY101">
            <v>1.3402799999999999</v>
          </cell>
          <cell r="DZ101">
            <v>2.2561599999999999</v>
          </cell>
          <cell r="EA101">
            <v>2.7566899999999999</v>
          </cell>
          <cell r="EB101">
            <v>1.9271900000000002</v>
          </cell>
          <cell r="EC101">
            <v>1.06389</v>
          </cell>
          <cell r="ED101" t="str">
            <v>nd</v>
          </cell>
          <cell r="EE101">
            <v>0.93646000000000007</v>
          </cell>
          <cell r="EF101">
            <v>14.513858399999998</v>
          </cell>
          <cell r="EG101">
            <v>5.5971000000000002</v>
          </cell>
          <cell r="EH101">
            <v>4.4643299999999995</v>
          </cell>
          <cell r="EI101">
            <v>4.94597</v>
          </cell>
          <cell r="EJ101">
            <v>3.9593999999999996</v>
          </cell>
          <cell r="EK101">
            <v>2.2609699999999999</v>
          </cell>
          <cell r="EL101">
            <v>27.024637200000001</v>
          </cell>
          <cell r="EM101">
            <v>6.4039153000000004</v>
          </cell>
          <cell r="EN101">
            <v>2.80688</v>
          </cell>
          <cell r="EO101">
            <v>3.61652</v>
          </cell>
          <cell r="EP101">
            <v>3.0386799999999998</v>
          </cell>
          <cell r="EQ101">
            <v>2.2391700000000001</v>
          </cell>
          <cell r="ER101">
            <v>3.4972299999999996</v>
          </cell>
          <cell r="ES101">
            <v>2.1822600000000003</v>
          </cell>
          <cell r="ET101" t="str">
            <v>nd</v>
          </cell>
          <cell r="EU101" t="str">
            <v>nd</v>
          </cell>
          <cell r="EV101" t="str">
            <v>nd</v>
          </cell>
          <cell r="EW101">
            <v>0</v>
          </cell>
          <cell r="EX101" t="str">
            <v>nd</v>
          </cell>
          <cell r="EY101">
            <v>0</v>
          </cell>
          <cell r="EZ101" t="str">
            <v>nd</v>
          </cell>
          <cell r="FA101" t="str">
            <v>nd</v>
          </cell>
          <cell r="FB101">
            <v>1.54664</v>
          </cell>
          <cell r="FC101">
            <v>1.1860900000000001</v>
          </cell>
          <cell r="FD101">
            <v>1.26816</v>
          </cell>
          <cell r="FE101">
            <v>0.53385300000000002</v>
          </cell>
          <cell r="FF101">
            <v>1.0997699999999999</v>
          </cell>
          <cell r="FG101">
            <v>2.7910900000000001</v>
          </cell>
          <cell r="FH101">
            <v>2.70973</v>
          </cell>
          <cell r="FI101">
            <v>4.3344500000000004</v>
          </cell>
          <cell r="FJ101">
            <v>4.7489099999999995</v>
          </cell>
          <cell r="FK101">
            <v>4.8849600000000004</v>
          </cell>
          <cell r="FL101">
            <v>4.2922500000000001</v>
          </cell>
          <cell r="FM101">
            <v>6.1036899999999994</v>
          </cell>
          <cell r="FN101">
            <v>11.431158499999999</v>
          </cell>
          <cell r="FO101">
            <v>3.2422600000000004</v>
          </cell>
          <cell r="FP101">
            <v>5.0391699999999995</v>
          </cell>
          <cell r="FQ101">
            <v>4.4135499999999999</v>
          </cell>
          <cell r="FR101">
            <v>3.9940799999999999</v>
          </cell>
          <cell r="FS101">
            <v>11.1264579</v>
          </cell>
          <cell r="FT101">
            <v>17.476969799999999</v>
          </cell>
          <cell r="FU101">
            <v>0</v>
          </cell>
          <cell r="FV101" t="str">
            <v>nd</v>
          </cell>
          <cell r="FW101">
            <v>0.95216000000000001</v>
          </cell>
          <cell r="FX101">
            <v>0.75539099999999992</v>
          </cell>
          <cell r="FY101">
            <v>2.0863</v>
          </cell>
          <cell r="FZ101">
            <v>2.6359299999999997</v>
          </cell>
          <cell r="GA101" t="str">
            <v>nd</v>
          </cell>
          <cell r="GB101" t="str">
            <v>nd</v>
          </cell>
          <cell r="GC101">
            <v>0</v>
          </cell>
          <cell r="GD101" t="str">
            <v>nd</v>
          </cell>
          <cell r="GE101" t="str">
            <v>nd</v>
          </cell>
          <cell r="GF101">
            <v>0</v>
          </cell>
          <cell r="GG101">
            <v>1.9812799999999999</v>
          </cell>
          <cell r="GH101">
            <v>0.74772899999999998</v>
          </cell>
          <cell r="GI101">
            <v>2.3477999999999999</v>
          </cell>
          <cell r="GJ101">
            <v>3.0599099999999999</v>
          </cell>
          <cell r="GK101">
            <v>1.6563000000000001</v>
          </cell>
          <cell r="GL101">
            <v>0</v>
          </cell>
          <cell r="GM101">
            <v>0.312832</v>
          </cell>
          <cell r="GN101">
            <v>0.94982</v>
          </cell>
          <cell r="GO101">
            <v>5.2519200000000001</v>
          </cell>
          <cell r="GP101">
            <v>13.5210507</v>
          </cell>
          <cell r="GQ101">
            <v>16.355794800000002</v>
          </cell>
          <cell r="GR101">
            <v>0</v>
          </cell>
          <cell r="GS101" t="str">
            <v>nd</v>
          </cell>
          <cell r="GT101" t="str">
            <v>nd</v>
          </cell>
          <cell r="GU101">
            <v>0.84484999999999999</v>
          </cell>
          <cell r="GV101">
            <v>9.542774399999999</v>
          </cell>
          <cell r="GW101">
            <v>33.804771900000006</v>
          </cell>
          <cell r="GX101">
            <v>0</v>
          </cell>
          <cell r="GY101">
            <v>0</v>
          </cell>
          <cell r="GZ101" t="str">
            <v>nd</v>
          </cell>
          <cell r="HA101">
            <v>0.73137999999999992</v>
          </cell>
          <cell r="HB101">
            <v>2.6449600000000002</v>
          </cell>
          <cell r="HC101">
            <v>3.02189</v>
          </cell>
          <cell r="HD101">
            <v>0</v>
          </cell>
          <cell r="HE101">
            <v>1.32104</v>
          </cell>
          <cell r="HF101">
            <v>0</v>
          </cell>
          <cell r="HG101" t="str">
            <v>nd</v>
          </cell>
          <cell r="HH101">
            <v>1.2527200000000001</v>
          </cell>
          <cell r="HI101">
            <v>0</v>
          </cell>
          <cell r="HJ101">
            <v>0</v>
          </cell>
          <cell r="HK101">
            <v>0</v>
          </cell>
          <cell r="HL101" t="str">
            <v>nd</v>
          </cell>
          <cell r="HM101">
            <v>5.2425499999999996</v>
          </cell>
          <cell r="HN101">
            <v>4.2827799999999998</v>
          </cell>
          <cell r="HO101">
            <v>0</v>
          </cell>
          <cell r="HP101">
            <v>0</v>
          </cell>
          <cell r="HQ101">
            <v>0</v>
          </cell>
          <cell r="HR101">
            <v>1.48475</v>
          </cell>
          <cell r="HS101">
            <v>20.674357400000002</v>
          </cell>
          <cell r="HT101">
            <v>13.563437</v>
          </cell>
          <cell r="HU101">
            <v>0</v>
          </cell>
          <cell r="HV101">
            <v>0</v>
          </cell>
          <cell r="HW101">
            <v>0</v>
          </cell>
          <cell r="HX101">
            <v>2.1194100000000002</v>
          </cell>
          <cell r="HY101">
            <v>28.131030299999999</v>
          </cell>
          <cell r="HZ101">
            <v>14.708516999999999</v>
          </cell>
          <cell r="IA101">
            <v>0</v>
          </cell>
          <cell r="IB101">
            <v>0</v>
          </cell>
          <cell r="IC101">
            <v>0</v>
          </cell>
          <cell r="ID101">
            <v>0.71248500000000003</v>
          </cell>
          <cell r="IE101">
            <v>4.7225099999999998</v>
          </cell>
          <cell r="IF101">
            <v>1.25915</v>
          </cell>
          <cell r="IG101">
            <v>0</v>
          </cell>
          <cell r="IH101">
            <v>0.75183800000000001</v>
          </cell>
          <cell r="II101">
            <v>0</v>
          </cell>
          <cell r="IJ101">
            <v>0</v>
          </cell>
          <cell r="IK101">
            <v>2.2170700000000001</v>
          </cell>
          <cell r="IL101">
            <v>0</v>
          </cell>
          <cell r="IM101">
            <v>0.90407000000000004</v>
          </cell>
          <cell r="IN101">
            <v>0</v>
          </cell>
          <cell r="IO101">
            <v>1.6288100000000001</v>
          </cell>
          <cell r="IP101">
            <v>4.3561999999999994</v>
          </cell>
          <cell r="IQ101">
            <v>3.0995499999999998</v>
          </cell>
          <cell r="IR101">
            <v>0</v>
          </cell>
          <cell r="IS101" t="str">
            <v>nd</v>
          </cell>
          <cell r="IT101" t="str">
            <v>nd</v>
          </cell>
          <cell r="IU101">
            <v>4.88619</v>
          </cell>
          <cell r="IV101">
            <v>21.463496300000003</v>
          </cell>
          <cell r="IW101">
            <v>8.6978235999999995</v>
          </cell>
          <cell r="IX101" t="str">
            <v>nd</v>
          </cell>
          <cell r="IY101">
            <v>0</v>
          </cell>
          <cell r="IZ101">
            <v>1.35466</v>
          </cell>
          <cell r="JA101">
            <v>3.06358</v>
          </cell>
          <cell r="JB101">
            <v>29.387423800000001</v>
          </cell>
          <cell r="JC101">
            <v>10.9685361</v>
          </cell>
          <cell r="JD101">
            <v>0</v>
          </cell>
          <cell r="JE101">
            <v>0</v>
          </cell>
          <cell r="JF101">
            <v>0</v>
          </cell>
          <cell r="JG101">
            <v>1.1573599999999999</v>
          </cell>
          <cell r="JH101">
            <v>4.5026099999999998</v>
          </cell>
          <cell r="JI101">
            <v>0.97219999999999995</v>
          </cell>
          <cell r="JJ101">
            <v>0</v>
          </cell>
          <cell r="JK101">
            <v>0</v>
          </cell>
          <cell r="JL101">
            <v>0</v>
          </cell>
          <cell r="JM101">
            <v>0</v>
          </cell>
          <cell r="JN101">
            <v>2.7940399999999999</v>
          </cell>
          <cell r="JO101">
            <v>0</v>
          </cell>
          <cell r="JP101">
            <v>0</v>
          </cell>
          <cell r="JQ101">
            <v>0</v>
          </cell>
          <cell r="JR101">
            <v>0</v>
          </cell>
          <cell r="JS101" t="str">
            <v>nd</v>
          </cell>
          <cell r="JT101">
            <v>9.5195679999999996</v>
          </cell>
          <cell r="JU101">
            <v>0</v>
          </cell>
          <cell r="JV101">
            <v>0</v>
          </cell>
          <cell r="JW101">
            <v>0</v>
          </cell>
          <cell r="JX101" t="str">
            <v>nd</v>
          </cell>
          <cell r="JY101" t="str">
            <v>nd</v>
          </cell>
          <cell r="JZ101">
            <v>35.782168300000002</v>
          </cell>
          <cell r="KA101">
            <v>0</v>
          </cell>
          <cell r="KB101">
            <v>0</v>
          </cell>
          <cell r="KC101">
            <v>0</v>
          </cell>
          <cell r="KD101">
            <v>0</v>
          </cell>
          <cell r="KE101" t="str">
            <v>nd</v>
          </cell>
          <cell r="KF101">
            <v>44.473905800000004</v>
          </cell>
          <cell r="KG101">
            <v>0</v>
          </cell>
          <cell r="KH101">
            <v>0</v>
          </cell>
          <cell r="KI101">
            <v>0</v>
          </cell>
          <cell r="KJ101">
            <v>0</v>
          </cell>
          <cell r="KK101">
            <v>0.90752999999999995</v>
          </cell>
          <cell r="KL101">
            <v>5.3193000000000001</v>
          </cell>
          <cell r="KM101">
            <v>59.699999999999996</v>
          </cell>
          <cell r="KN101">
            <v>22.3</v>
          </cell>
          <cell r="KO101">
            <v>6.7</v>
          </cell>
          <cell r="KP101">
            <v>4.5999999999999996</v>
          </cell>
          <cell r="KQ101">
            <v>6.5</v>
          </cell>
          <cell r="KR101">
            <v>0.2</v>
          </cell>
          <cell r="KS101">
            <v>59</v>
          </cell>
          <cell r="KT101">
            <v>21.9</v>
          </cell>
          <cell r="KU101">
            <v>7.0000000000000009</v>
          </cell>
          <cell r="KV101">
            <v>4.8</v>
          </cell>
          <cell r="KW101">
            <v>7.1</v>
          </cell>
          <cell r="KX101">
            <v>0.2</v>
          </cell>
          <cell r="KY101"/>
          <cell r="KZ101"/>
          <cell r="LA101"/>
          <cell r="LB101"/>
          <cell r="LC101"/>
          <cell r="LD101"/>
          <cell r="LE101"/>
          <cell r="LF101"/>
          <cell r="LG101"/>
          <cell r="LH101"/>
          <cell r="LI101"/>
          <cell r="LJ101"/>
          <cell r="LK101"/>
          <cell r="LL101"/>
          <cell r="LM101"/>
          <cell r="LN101"/>
          <cell r="LO101"/>
        </row>
        <row r="102">
          <cell r="A102" t="str">
            <v>4MN</v>
          </cell>
          <cell r="B102" t="str">
            <v>102</v>
          </cell>
          <cell r="C102" t="str">
            <v>NAF 17</v>
          </cell>
          <cell r="D102" t="str">
            <v>MN</v>
          </cell>
          <cell r="E102" t="str">
            <v>4</v>
          </cell>
          <cell r="F102">
            <v>1.7999999999999998</v>
          </cell>
          <cell r="G102">
            <v>11.600000000000001</v>
          </cell>
          <cell r="H102">
            <v>41.8</v>
          </cell>
          <cell r="I102">
            <v>37</v>
          </cell>
          <cell r="J102">
            <v>7.7</v>
          </cell>
          <cell r="K102">
            <v>62.4</v>
          </cell>
          <cell r="L102">
            <v>29.9</v>
          </cell>
          <cell r="M102">
            <v>3.9</v>
          </cell>
          <cell r="N102">
            <v>3.9</v>
          </cell>
          <cell r="O102">
            <v>34.300000000000004</v>
          </cell>
          <cell r="P102">
            <v>23.200000000000003</v>
          </cell>
          <cell r="Q102">
            <v>6.9</v>
          </cell>
          <cell r="R102">
            <v>8.1</v>
          </cell>
          <cell r="S102">
            <v>14.299999999999999</v>
          </cell>
          <cell r="T102">
            <v>36.299999999999997</v>
          </cell>
          <cell r="U102">
            <v>12.2</v>
          </cell>
          <cell r="V102">
            <v>27.400000000000002</v>
          </cell>
          <cell r="W102">
            <v>20</v>
          </cell>
          <cell r="X102">
            <v>73.8</v>
          </cell>
          <cell r="Y102">
            <v>6.2</v>
          </cell>
          <cell r="Z102">
            <v>4.3999999999999995</v>
          </cell>
          <cell r="AA102">
            <v>51.1</v>
          </cell>
          <cell r="AB102">
            <v>13.700000000000001</v>
          </cell>
          <cell r="AC102">
            <v>46.7</v>
          </cell>
          <cell r="AD102">
            <v>25.8</v>
          </cell>
          <cell r="AE102">
            <v>70.8</v>
          </cell>
          <cell r="AF102">
            <v>29.2</v>
          </cell>
          <cell r="AG102">
            <v>56.8</v>
          </cell>
          <cell r="AH102">
            <v>43.2</v>
          </cell>
          <cell r="AI102">
            <v>43.6</v>
          </cell>
          <cell r="AJ102">
            <v>22.900000000000002</v>
          </cell>
          <cell r="AK102">
            <v>2.8000000000000003</v>
          </cell>
          <cell r="AL102">
            <v>21.5</v>
          </cell>
          <cell r="AM102">
            <v>9.1999999999999993</v>
          </cell>
          <cell r="AN102">
            <v>13.600000000000001</v>
          </cell>
          <cell r="AO102">
            <v>2.4</v>
          </cell>
          <cell r="AP102">
            <v>4.8</v>
          </cell>
          <cell r="AQ102">
            <v>71</v>
          </cell>
          <cell r="AR102">
            <v>8.2000000000000011</v>
          </cell>
          <cell r="AS102">
            <v>41.5</v>
          </cell>
          <cell r="AT102">
            <v>20.100000000000001</v>
          </cell>
          <cell r="AU102">
            <v>11.799999999999999</v>
          </cell>
          <cell r="AV102">
            <v>9</v>
          </cell>
          <cell r="AW102">
            <v>11.700000000000001</v>
          </cell>
          <cell r="AX102">
            <v>5.8999999999999995</v>
          </cell>
          <cell r="AY102">
            <v>12.6</v>
          </cell>
          <cell r="AZ102">
            <v>10.299999999999999</v>
          </cell>
          <cell r="BA102">
            <v>12.7</v>
          </cell>
          <cell r="BB102">
            <v>12.5</v>
          </cell>
          <cell r="BC102">
            <v>26</v>
          </cell>
          <cell r="BD102">
            <v>25.8</v>
          </cell>
          <cell r="BE102">
            <v>1.4000000000000001</v>
          </cell>
          <cell r="BF102">
            <v>3</v>
          </cell>
          <cell r="BG102">
            <v>6</v>
          </cell>
          <cell r="BH102">
            <v>9.8000000000000007</v>
          </cell>
          <cell r="BI102">
            <v>38</v>
          </cell>
          <cell r="BJ102">
            <v>41.699999999999996</v>
          </cell>
          <cell r="BK102">
            <v>0</v>
          </cell>
          <cell r="BL102">
            <v>0</v>
          </cell>
          <cell r="BM102">
            <v>0</v>
          </cell>
          <cell r="BN102">
            <v>7.8</v>
          </cell>
          <cell r="BO102">
            <v>73.8</v>
          </cell>
          <cell r="BP102">
            <v>18.399999999999999</v>
          </cell>
          <cell r="BQ102">
            <v>0.8</v>
          </cell>
          <cell r="BR102">
            <v>0.70000000000000007</v>
          </cell>
          <cell r="BS102">
            <v>1</v>
          </cell>
          <cell r="BT102">
            <v>16.100000000000001</v>
          </cell>
          <cell r="BU102">
            <v>64.5</v>
          </cell>
          <cell r="BV102">
            <v>16.900000000000002</v>
          </cell>
          <cell r="BW102">
            <v>0</v>
          </cell>
          <cell r="BX102">
            <v>0</v>
          </cell>
          <cell r="BY102">
            <v>0</v>
          </cell>
          <cell r="BZ102">
            <v>0</v>
          </cell>
          <cell r="CA102">
            <v>1</v>
          </cell>
          <cell r="CB102">
            <v>99</v>
          </cell>
          <cell r="CC102">
            <v>10.199999999999999</v>
          </cell>
          <cell r="CD102">
            <v>16.600000000000001</v>
          </cell>
          <cell r="CE102">
            <v>1</v>
          </cell>
          <cell r="CF102">
            <v>1.2</v>
          </cell>
          <cell r="CG102" t="str">
            <v>nd</v>
          </cell>
          <cell r="CH102">
            <v>20.3</v>
          </cell>
          <cell r="CI102">
            <v>11.3</v>
          </cell>
          <cell r="CJ102">
            <v>62.8</v>
          </cell>
          <cell r="CK102">
            <v>35</v>
          </cell>
          <cell r="CL102">
            <v>5.7</v>
          </cell>
          <cell r="CM102">
            <v>3.3000000000000003</v>
          </cell>
          <cell r="CN102">
            <v>1.5</v>
          </cell>
          <cell r="CO102">
            <v>63.800000000000004</v>
          </cell>
          <cell r="CP102">
            <v>23.7</v>
          </cell>
          <cell r="CQ102">
            <v>26.1</v>
          </cell>
          <cell r="CR102">
            <v>11.1</v>
          </cell>
          <cell r="CS102">
            <v>39.1</v>
          </cell>
          <cell r="CT102">
            <v>26.1</v>
          </cell>
          <cell r="CU102">
            <v>73.900000000000006</v>
          </cell>
          <cell r="CV102">
            <v>29.299999999999997</v>
          </cell>
          <cell r="CW102">
            <v>70.7</v>
          </cell>
          <cell r="CX102">
            <v>16.3</v>
          </cell>
          <cell r="CY102">
            <v>19.5</v>
          </cell>
          <cell r="CZ102">
            <v>64.2</v>
          </cell>
          <cell r="DA102">
            <v>21.9</v>
          </cell>
          <cell r="DB102">
            <v>8.6</v>
          </cell>
          <cell r="DC102">
            <v>5.3</v>
          </cell>
          <cell r="DD102" t="str">
            <v>nd</v>
          </cell>
          <cell r="DE102">
            <v>67.5</v>
          </cell>
          <cell r="DF102">
            <v>13.200000000000001</v>
          </cell>
          <cell r="DG102">
            <v>6.8000000000000007</v>
          </cell>
          <cell r="DH102">
            <v>19.3</v>
          </cell>
          <cell r="DI102">
            <v>18.899999999999999</v>
          </cell>
          <cell r="DJ102">
            <v>18.7</v>
          </cell>
          <cell r="DK102">
            <v>23</v>
          </cell>
          <cell r="DL102">
            <v>13.700000000000001</v>
          </cell>
          <cell r="DM102">
            <v>45.800000000000004</v>
          </cell>
          <cell r="DN102">
            <v>8.6</v>
          </cell>
          <cell r="DO102">
            <v>21.9</v>
          </cell>
          <cell r="DP102">
            <v>17.100000000000001</v>
          </cell>
          <cell r="DQ102">
            <v>4.3999999999999995</v>
          </cell>
          <cell r="DR102">
            <v>4.5</v>
          </cell>
          <cell r="DS102">
            <v>25.7</v>
          </cell>
          <cell r="DT102">
            <v>21.6</v>
          </cell>
          <cell r="DU102">
            <v>0</v>
          </cell>
          <cell r="DV102">
            <v>1.40198</v>
          </cell>
          <cell r="DW102">
            <v>0</v>
          </cell>
          <cell r="DX102">
            <v>0</v>
          </cell>
          <cell r="DY102" t="str">
            <v>nd</v>
          </cell>
          <cell r="DZ102">
            <v>1.6908200000000002</v>
          </cell>
          <cell r="EA102">
            <v>2.3125499999999999</v>
          </cell>
          <cell r="EB102">
            <v>1.7629700000000001</v>
          </cell>
          <cell r="EC102">
            <v>3.4795100000000003</v>
          </cell>
          <cell r="ED102">
            <v>1.54722</v>
          </cell>
          <cell r="EE102">
            <v>1.0085600000000001</v>
          </cell>
          <cell r="EF102">
            <v>15.053023099999999</v>
          </cell>
          <cell r="EG102">
            <v>10.708212899999999</v>
          </cell>
          <cell r="EH102">
            <v>6.7118998999999997</v>
          </cell>
          <cell r="EI102">
            <v>3.8069899999999999</v>
          </cell>
          <cell r="EJ102">
            <v>4.6320899999999998</v>
          </cell>
          <cell r="EK102">
            <v>1.7484900000000001</v>
          </cell>
          <cell r="EL102">
            <v>20.4447644</v>
          </cell>
          <cell r="EM102">
            <v>6.3010134999999998</v>
          </cell>
          <cell r="EN102">
            <v>2.33358</v>
          </cell>
          <cell r="EO102">
            <v>1.3547800000000001</v>
          </cell>
          <cell r="EP102">
            <v>3.1769100000000003</v>
          </cell>
          <cell r="EQ102">
            <v>2.6119300000000001</v>
          </cell>
          <cell r="ER102">
            <v>4.4412700000000003</v>
          </cell>
          <cell r="ES102">
            <v>0.70135099999999995</v>
          </cell>
          <cell r="ET102">
            <v>1.00528</v>
          </cell>
          <cell r="EU102" t="str">
            <v>nd</v>
          </cell>
          <cell r="EV102">
            <v>0.63331100000000007</v>
          </cell>
          <cell r="EW102" t="str">
            <v>nd</v>
          </cell>
          <cell r="EX102">
            <v>0</v>
          </cell>
          <cell r="EY102" t="str">
            <v>nd</v>
          </cell>
          <cell r="EZ102" t="str">
            <v>nd</v>
          </cell>
          <cell r="FA102">
            <v>0.37645299999999998</v>
          </cell>
          <cell r="FB102" t="str">
            <v>nd</v>
          </cell>
          <cell r="FC102">
            <v>2.9580500000000001</v>
          </cell>
          <cell r="FD102">
            <v>0.67683599999999999</v>
          </cell>
          <cell r="FE102">
            <v>0.78426999999999991</v>
          </cell>
          <cell r="FF102">
            <v>2.99234</v>
          </cell>
          <cell r="FG102">
            <v>2.1776200000000001</v>
          </cell>
          <cell r="FH102">
            <v>1.6344299999999998</v>
          </cell>
          <cell r="FI102">
            <v>4.0939399999999999</v>
          </cell>
          <cell r="FJ102">
            <v>5.57362</v>
          </cell>
          <cell r="FK102">
            <v>6.7332324999999997</v>
          </cell>
          <cell r="FL102">
            <v>4.1018299999999996</v>
          </cell>
          <cell r="FM102">
            <v>10.0144175</v>
          </cell>
          <cell r="FN102">
            <v>12.0531176</v>
          </cell>
          <cell r="FO102">
            <v>4.2932800000000002</v>
          </cell>
          <cell r="FP102">
            <v>3.59876</v>
          </cell>
          <cell r="FQ102">
            <v>4.3491499999999998</v>
          </cell>
          <cell r="FR102">
            <v>3.5679500000000002</v>
          </cell>
          <cell r="FS102">
            <v>10.444353700000001</v>
          </cell>
          <cell r="FT102">
            <v>10.9227822</v>
          </cell>
          <cell r="FU102">
            <v>1.29454</v>
          </cell>
          <cell r="FV102" t="str">
            <v>nd</v>
          </cell>
          <cell r="FW102">
            <v>0.69234799999999996</v>
          </cell>
          <cell r="FX102">
            <v>1.4752700000000001</v>
          </cell>
          <cell r="FY102">
            <v>2.58474</v>
          </cell>
          <cell r="FZ102" t="str">
            <v>nd</v>
          </cell>
          <cell r="GA102">
            <v>0.99851999999999996</v>
          </cell>
          <cell r="GB102">
            <v>0</v>
          </cell>
          <cell r="GC102" t="str">
            <v>nd</v>
          </cell>
          <cell r="GD102">
            <v>0</v>
          </cell>
          <cell r="GE102" t="str">
            <v>nd</v>
          </cell>
          <cell r="GF102" t="str">
            <v>nd</v>
          </cell>
          <cell r="GG102">
            <v>2.2071799999999997</v>
          </cell>
          <cell r="GH102">
            <v>2.3338899999999998</v>
          </cell>
          <cell r="GI102">
            <v>1.9895900000000002</v>
          </cell>
          <cell r="GJ102">
            <v>2.9989600000000003</v>
          </cell>
          <cell r="GK102">
            <v>0.91312000000000004</v>
          </cell>
          <cell r="GL102">
            <v>0</v>
          </cell>
          <cell r="GM102" t="str">
            <v>nd</v>
          </cell>
          <cell r="GN102">
            <v>2.90706</v>
          </cell>
          <cell r="GO102">
            <v>7.1994748999999993</v>
          </cell>
          <cell r="GP102">
            <v>18.3212911</v>
          </cell>
          <cell r="GQ102">
            <v>13.468631800000001</v>
          </cell>
          <cell r="GR102">
            <v>0</v>
          </cell>
          <cell r="GS102">
            <v>0</v>
          </cell>
          <cell r="GT102">
            <v>0</v>
          </cell>
          <cell r="GU102">
            <v>0.62966100000000003</v>
          </cell>
          <cell r="GV102">
            <v>13.631204499999999</v>
          </cell>
          <cell r="GW102">
            <v>23.039557799999997</v>
          </cell>
          <cell r="GX102">
            <v>0</v>
          </cell>
          <cell r="GY102">
            <v>0</v>
          </cell>
          <cell r="GZ102" t="str">
            <v>nd</v>
          </cell>
          <cell r="HA102">
            <v>0</v>
          </cell>
          <cell r="HB102">
            <v>3.2596399999999996</v>
          </cell>
          <cell r="HC102">
            <v>3.8066399999999998</v>
          </cell>
          <cell r="HD102">
            <v>0</v>
          </cell>
          <cell r="HE102">
            <v>0.91913</v>
          </cell>
          <cell r="HF102">
            <v>0</v>
          </cell>
          <cell r="HG102" t="str">
            <v>nd</v>
          </cell>
          <cell r="HH102" t="str">
            <v>nd</v>
          </cell>
          <cell r="HI102">
            <v>0</v>
          </cell>
          <cell r="HJ102">
            <v>0</v>
          </cell>
          <cell r="HK102">
            <v>0</v>
          </cell>
          <cell r="HL102" t="str">
            <v>nd</v>
          </cell>
          <cell r="HM102">
            <v>9.1141690000000004</v>
          </cell>
          <cell r="HN102">
            <v>1.4099600000000001</v>
          </cell>
          <cell r="HO102">
            <v>0</v>
          </cell>
          <cell r="HP102">
            <v>0</v>
          </cell>
          <cell r="HQ102">
            <v>0</v>
          </cell>
          <cell r="HR102">
            <v>5.2162699999999997</v>
          </cell>
          <cell r="HS102">
            <v>29.438518899999998</v>
          </cell>
          <cell r="HT102">
            <v>7.4597346999999994</v>
          </cell>
          <cell r="HU102">
            <v>0</v>
          </cell>
          <cell r="HV102">
            <v>0</v>
          </cell>
          <cell r="HW102">
            <v>0</v>
          </cell>
          <cell r="HX102">
            <v>1.7518400000000001</v>
          </cell>
          <cell r="HY102">
            <v>27.400883999999998</v>
          </cell>
          <cell r="HZ102">
            <v>7.8774682999999994</v>
          </cell>
          <cell r="IA102">
            <v>0</v>
          </cell>
          <cell r="IB102">
            <v>0</v>
          </cell>
          <cell r="IC102">
            <v>0</v>
          </cell>
          <cell r="ID102">
            <v>0</v>
          </cell>
          <cell r="IE102">
            <v>7.1905370999999993</v>
          </cell>
          <cell r="IF102">
            <v>0.75795800000000002</v>
          </cell>
          <cell r="IG102">
            <v>0</v>
          </cell>
          <cell r="IH102">
            <v>0.60399700000000001</v>
          </cell>
          <cell r="II102">
            <v>0</v>
          </cell>
          <cell r="IJ102" t="str">
            <v>nd</v>
          </cell>
          <cell r="IK102">
            <v>0.84989000000000003</v>
          </cell>
          <cell r="IL102">
            <v>0</v>
          </cell>
          <cell r="IM102">
            <v>0</v>
          </cell>
          <cell r="IN102" t="str">
            <v>nd</v>
          </cell>
          <cell r="IO102">
            <v>1.7510000000000001</v>
          </cell>
          <cell r="IP102">
            <v>8.5167810999999993</v>
          </cell>
          <cell r="IQ102">
            <v>0.85685999999999996</v>
          </cell>
          <cell r="IR102">
            <v>0.76421800000000006</v>
          </cell>
          <cell r="IS102">
            <v>0.71200200000000002</v>
          </cell>
          <cell r="IT102" t="str">
            <v>nd</v>
          </cell>
          <cell r="IU102">
            <v>5.5542199999999999</v>
          </cell>
          <cell r="IV102">
            <v>27.981404100000002</v>
          </cell>
          <cell r="IW102">
            <v>6.4216965999999998</v>
          </cell>
          <cell r="IX102">
            <v>0</v>
          </cell>
          <cell r="IY102">
            <v>0</v>
          </cell>
          <cell r="IZ102">
            <v>0</v>
          </cell>
          <cell r="JA102">
            <v>6.8887796999999997</v>
          </cell>
          <cell r="JB102">
            <v>22.786299800000002</v>
          </cell>
          <cell r="JC102">
            <v>7.3295547000000001</v>
          </cell>
          <cell r="JD102">
            <v>0</v>
          </cell>
          <cell r="JE102">
            <v>0</v>
          </cell>
          <cell r="JF102" t="str">
            <v>nd</v>
          </cell>
          <cell r="JG102">
            <v>1.536</v>
          </cell>
          <cell r="JH102">
            <v>4.8764500000000002</v>
          </cell>
          <cell r="JI102">
            <v>1.1775600000000002</v>
          </cell>
          <cell r="JJ102">
            <v>0</v>
          </cell>
          <cell r="JK102" t="str">
            <v>nd</v>
          </cell>
          <cell r="JL102">
            <v>0</v>
          </cell>
          <cell r="JM102">
            <v>0</v>
          </cell>
          <cell r="JN102">
            <v>1.52688</v>
          </cell>
          <cell r="JO102">
            <v>0</v>
          </cell>
          <cell r="JP102">
            <v>0</v>
          </cell>
          <cell r="JQ102">
            <v>0</v>
          </cell>
          <cell r="JR102">
            <v>0</v>
          </cell>
          <cell r="JS102">
            <v>0</v>
          </cell>
          <cell r="JT102">
            <v>10.8431847</v>
          </cell>
          <cell r="JU102">
            <v>0</v>
          </cell>
          <cell r="JV102">
            <v>0</v>
          </cell>
          <cell r="JW102">
            <v>0</v>
          </cell>
          <cell r="JX102">
            <v>0</v>
          </cell>
          <cell r="JY102">
            <v>0</v>
          </cell>
          <cell r="JZ102">
            <v>42.928684799999999</v>
          </cell>
          <cell r="KA102">
            <v>0</v>
          </cell>
          <cell r="KB102">
            <v>0</v>
          </cell>
          <cell r="KC102">
            <v>0</v>
          </cell>
          <cell r="KD102">
            <v>0</v>
          </cell>
          <cell r="KE102" t="str">
            <v>nd</v>
          </cell>
          <cell r="KF102">
            <v>36.052007200000006</v>
          </cell>
          <cell r="KG102">
            <v>0</v>
          </cell>
          <cell r="KH102">
            <v>0</v>
          </cell>
          <cell r="KI102">
            <v>0</v>
          </cell>
          <cell r="KJ102">
            <v>0</v>
          </cell>
          <cell r="KK102">
            <v>0</v>
          </cell>
          <cell r="KL102">
            <v>7.5996115</v>
          </cell>
          <cell r="KM102">
            <v>54.400000000000006</v>
          </cell>
          <cell r="KN102">
            <v>24.2</v>
          </cell>
          <cell r="KO102">
            <v>8.9</v>
          </cell>
          <cell r="KP102">
            <v>5.2</v>
          </cell>
          <cell r="KQ102">
            <v>7.3</v>
          </cell>
          <cell r="KR102">
            <v>0</v>
          </cell>
          <cell r="KS102">
            <v>53.400000000000006</v>
          </cell>
          <cell r="KT102">
            <v>23.9</v>
          </cell>
          <cell r="KU102">
            <v>8.9</v>
          </cell>
          <cell r="KV102">
            <v>5.6000000000000005</v>
          </cell>
          <cell r="KW102">
            <v>8.1</v>
          </cell>
          <cell r="KX102">
            <v>0</v>
          </cell>
          <cell r="KY102"/>
          <cell r="KZ102"/>
          <cell r="LA102"/>
          <cell r="LB102"/>
          <cell r="LC102"/>
          <cell r="LD102"/>
          <cell r="LE102"/>
          <cell r="LF102"/>
          <cell r="LG102"/>
          <cell r="LH102"/>
          <cell r="LI102"/>
          <cell r="LJ102"/>
          <cell r="LK102"/>
          <cell r="LL102"/>
          <cell r="LM102"/>
          <cell r="LN102"/>
          <cell r="LO102"/>
        </row>
        <row r="103">
          <cell r="A103" t="str">
            <v>5MN</v>
          </cell>
          <cell r="B103" t="str">
            <v>103</v>
          </cell>
          <cell r="C103" t="str">
            <v>NAF 17</v>
          </cell>
          <cell r="D103" t="str">
            <v>MN</v>
          </cell>
          <cell r="E103" t="str">
            <v>5</v>
          </cell>
          <cell r="F103" t="str">
            <v>nd</v>
          </cell>
          <cell r="G103">
            <v>10.9</v>
          </cell>
          <cell r="H103">
            <v>44</v>
          </cell>
          <cell r="I103">
            <v>35.799999999999997</v>
          </cell>
          <cell r="J103">
            <v>7.8</v>
          </cell>
          <cell r="K103">
            <v>63.5</v>
          </cell>
          <cell r="L103">
            <v>25.5</v>
          </cell>
          <cell r="M103">
            <v>3.2</v>
          </cell>
          <cell r="N103">
            <v>7.7</v>
          </cell>
          <cell r="O103">
            <v>38.5</v>
          </cell>
          <cell r="P103">
            <v>28.7</v>
          </cell>
          <cell r="Q103">
            <v>7.6</v>
          </cell>
          <cell r="R103">
            <v>4.3999999999999995</v>
          </cell>
          <cell r="S103">
            <v>10.100000000000001</v>
          </cell>
          <cell r="T103">
            <v>29.299999999999997</v>
          </cell>
          <cell r="U103">
            <v>13.5</v>
          </cell>
          <cell r="V103">
            <v>25.1</v>
          </cell>
          <cell r="W103">
            <v>18.8</v>
          </cell>
          <cell r="X103">
            <v>74.7</v>
          </cell>
          <cell r="Y103">
            <v>6.5</v>
          </cell>
          <cell r="Z103" t="str">
            <v>nd</v>
          </cell>
          <cell r="AA103">
            <v>36.299999999999997</v>
          </cell>
          <cell r="AB103">
            <v>6.6000000000000005</v>
          </cell>
          <cell r="AC103">
            <v>69.199999999999989</v>
          </cell>
          <cell r="AD103">
            <v>31.900000000000002</v>
          </cell>
          <cell r="AE103">
            <v>71.7</v>
          </cell>
          <cell r="AF103">
            <v>28.299999999999997</v>
          </cell>
          <cell r="AG103">
            <v>69.5</v>
          </cell>
          <cell r="AH103">
            <v>30.5</v>
          </cell>
          <cell r="AI103">
            <v>44.1</v>
          </cell>
          <cell r="AJ103">
            <v>14.899999999999999</v>
          </cell>
          <cell r="AK103">
            <v>1.5</v>
          </cell>
          <cell r="AL103">
            <v>30.5</v>
          </cell>
          <cell r="AM103">
            <v>9</v>
          </cell>
          <cell r="AN103">
            <v>15.2</v>
          </cell>
          <cell r="AO103">
            <v>3.5000000000000004</v>
          </cell>
          <cell r="AP103">
            <v>5.5</v>
          </cell>
          <cell r="AQ103">
            <v>66.2</v>
          </cell>
          <cell r="AR103">
            <v>9.7000000000000011</v>
          </cell>
          <cell r="AS103">
            <v>34.799999999999997</v>
          </cell>
          <cell r="AT103">
            <v>13.3</v>
          </cell>
          <cell r="AU103">
            <v>14.099999999999998</v>
          </cell>
          <cell r="AV103">
            <v>16.7</v>
          </cell>
          <cell r="AW103">
            <v>13</v>
          </cell>
          <cell r="AX103">
            <v>8</v>
          </cell>
          <cell r="AY103">
            <v>15.6</v>
          </cell>
          <cell r="AZ103">
            <v>17.7</v>
          </cell>
          <cell r="BA103">
            <v>13.100000000000001</v>
          </cell>
          <cell r="BB103">
            <v>11.600000000000001</v>
          </cell>
          <cell r="BC103">
            <v>15.6</v>
          </cell>
          <cell r="BD103">
            <v>26.400000000000002</v>
          </cell>
          <cell r="BE103">
            <v>0</v>
          </cell>
          <cell r="BF103">
            <v>2.6</v>
          </cell>
          <cell r="BG103">
            <v>5.8000000000000007</v>
          </cell>
          <cell r="BH103">
            <v>13.100000000000001</v>
          </cell>
          <cell r="BI103">
            <v>34.1</v>
          </cell>
          <cell r="BJ103">
            <v>44.4</v>
          </cell>
          <cell r="BK103">
            <v>0</v>
          </cell>
          <cell r="BL103">
            <v>0</v>
          </cell>
          <cell r="BM103" t="str">
            <v>nd</v>
          </cell>
          <cell r="BN103">
            <v>6.4</v>
          </cell>
          <cell r="BO103">
            <v>75.8</v>
          </cell>
          <cell r="BP103">
            <v>16.8</v>
          </cell>
          <cell r="BQ103" t="str">
            <v>nd</v>
          </cell>
          <cell r="BR103">
            <v>1.2</v>
          </cell>
          <cell r="BS103">
            <v>1.7999999999999998</v>
          </cell>
          <cell r="BT103">
            <v>24</v>
          </cell>
          <cell r="BU103">
            <v>60.6</v>
          </cell>
          <cell r="BV103">
            <v>11.899999999999999</v>
          </cell>
          <cell r="BW103">
            <v>0</v>
          </cell>
          <cell r="BX103">
            <v>0</v>
          </cell>
          <cell r="BY103">
            <v>0</v>
          </cell>
          <cell r="BZ103" t="str">
            <v>nd</v>
          </cell>
          <cell r="CA103">
            <v>1</v>
          </cell>
          <cell r="CB103">
            <v>98.6</v>
          </cell>
          <cell r="CC103">
            <v>12.1</v>
          </cell>
          <cell r="CD103">
            <v>14.2</v>
          </cell>
          <cell r="CE103" t="str">
            <v>nd</v>
          </cell>
          <cell r="CF103">
            <v>1</v>
          </cell>
          <cell r="CG103" t="str">
            <v>nd</v>
          </cell>
          <cell r="CH103">
            <v>16.400000000000002</v>
          </cell>
          <cell r="CI103">
            <v>9</v>
          </cell>
          <cell r="CJ103">
            <v>65.600000000000009</v>
          </cell>
          <cell r="CK103">
            <v>38.6</v>
          </cell>
          <cell r="CL103">
            <v>8.3000000000000007</v>
          </cell>
          <cell r="CM103">
            <v>3.8</v>
          </cell>
          <cell r="CN103">
            <v>2.1</v>
          </cell>
          <cell r="CO103">
            <v>60.4</v>
          </cell>
          <cell r="CP103">
            <v>29.799999999999997</v>
          </cell>
          <cell r="CQ103">
            <v>22.8</v>
          </cell>
          <cell r="CR103">
            <v>12.2</v>
          </cell>
          <cell r="CS103">
            <v>35.199999999999996</v>
          </cell>
          <cell r="CT103">
            <v>20.399999999999999</v>
          </cell>
          <cell r="CU103">
            <v>79.600000000000009</v>
          </cell>
          <cell r="CV103">
            <v>28.599999999999998</v>
          </cell>
          <cell r="CW103">
            <v>71.399999999999991</v>
          </cell>
          <cell r="CX103">
            <v>22.5</v>
          </cell>
          <cell r="CY103">
            <v>24.2</v>
          </cell>
          <cell r="CZ103">
            <v>53.300000000000004</v>
          </cell>
          <cell r="DA103">
            <v>22.8</v>
          </cell>
          <cell r="DB103">
            <v>6</v>
          </cell>
          <cell r="DC103">
            <v>10.199999999999999</v>
          </cell>
          <cell r="DD103">
            <v>0</v>
          </cell>
          <cell r="DE103">
            <v>65.600000000000009</v>
          </cell>
          <cell r="DF103">
            <v>12.7</v>
          </cell>
          <cell r="DG103">
            <v>10.299999999999999</v>
          </cell>
          <cell r="DH103">
            <v>18.8</v>
          </cell>
          <cell r="DI103">
            <v>16.2</v>
          </cell>
          <cell r="DJ103">
            <v>15.4</v>
          </cell>
          <cell r="DK103">
            <v>26.6</v>
          </cell>
          <cell r="DL103">
            <v>10.100000000000001</v>
          </cell>
          <cell r="DM103">
            <v>38</v>
          </cell>
          <cell r="DN103">
            <v>8.4</v>
          </cell>
          <cell r="DO103">
            <v>24.099999999999998</v>
          </cell>
          <cell r="DP103">
            <v>17.899999999999999</v>
          </cell>
          <cell r="DQ103">
            <v>2</v>
          </cell>
          <cell r="DR103">
            <v>7.0000000000000009</v>
          </cell>
          <cell r="DS103">
            <v>27.400000000000002</v>
          </cell>
          <cell r="DT103">
            <v>27.800000000000004</v>
          </cell>
          <cell r="DU103">
            <v>0</v>
          </cell>
          <cell r="DV103">
            <v>0</v>
          </cell>
          <cell r="DW103">
            <v>0</v>
          </cell>
          <cell r="DX103">
            <v>0</v>
          </cell>
          <cell r="DY103" t="str">
            <v>nd</v>
          </cell>
          <cell r="DZ103">
            <v>1.6965000000000001</v>
          </cell>
          <cell r="EA103" t="str">
            <v>nd</v>
          </cell>
          <cell r="EB103">
            <v>2.8411599999999999</v>
          </cell>
          <cell r="EC103">
            <v>3.0400100000000001</v>
          </cell>
          <cell r="ED103">
            <v>2.4494499999999997</v>
          </cell>
          <cell r="EE103" t="str">
            <v>nd</v>
          </cell>
          <cell r="EF103">
            <v>14.283681300000001</v>
          </cell>
          <cell r="EG103">
            <v>7.1757259000000007</v>
          </cell>
          <cell r="EH103">
            <v>5.5458599999999993</v>
          </cell>
          <cell r="EI103">
            <v>8.6300249999999998</v>
          </cell>
          <cell r="EJ103">
            <v>5.9508600000000005</v>
          </cell>
          <cell r="EK103">
            <v>2.8585099999999999</v>
          </cell>
          <cell r="EL103">
            <v>15.045862600000001</v>
          </cell>
          <cell r="EM103">
            <v>4.4622200000000003</v>
          </cell>
          <cell r="EN103">
            <v>5.2985800000000003</v>
          </cell>
          <cell r="EO103">
            <v>4.0744000000000007</v>
          </cell>
          <cell r="EP103">
            <v>3.5921000000000003</v>
          </cell>
          <cell r="EQ103">
            <v>3.4155100000000003</v>
          </cell>
          <cell r="ER103">
            <v>3.6579899999999999</v>
          </cell>
          <cell r="ES103">
            <v>1.2741199999999999</v>
          </cell>
          <cell r="ET103" t="str">
            <v>nd</v>
          </cell>
          <cell r="EU103" t="str">
            <v>nd</v>
          </cell>
          <cell r="EV103" t="str">
            <v>nd</v>
          </cell>
          <cell r="EW103">
            <v>0</v>
          </cell>
          <cell r="EX103">
            <v>0</v>
          </cell>
          <cell r="EY103">
            <v>0</v>
          </cell>
          <cell r="EZ103">
            <v>0</v>
          </cell>
          <cell r="FA103">
            <v>0</v>
          </cell>
          <cell r="FB103" t="str">
            <v>nd</v>
          </cell>
          <cell r="FC103">
            <v>0.83762000000000003</v>
          </cell>
          <cell r="FD103">
            <v>2.2023700000000002</v>
          </cell>
          <cell r="FE103">
            <v>1.0685800000000001</v>
          </cell>
          <cell r="FF103">
            <v>2.5420100000000003</v>
          </cell>
          <cell r="FG103">
            <v>1.9655200000000002</v>
          </cell>
          <cell r="FH103">
            <v>1.94689</v>
          </cell>
          <cell r="FI103">
            <v>6.5498816</v>
          </cell>
          <cell r="FJ103">
            <v>9.7520223000000001</v>
          </cell>
          <cell r="FK103">
            <v>4.3504899999999997</v>
          </cell>
          <cell r="FL103">
            <v>4.5045799999999998</v>
          </cell>
          <cell r="FM103">
            <v>6.9965278000000009</v>
          </cell>
          <cell r="FN103">
            <v>11.9644469</v>
          </cell>
          <cell r="FO103">
            <v>5.9598400000000007</v>
          </cell>
          <cell r="FP103">
            <v>5.5075899999999995</v>
          </cell>
          <cell r="FQ103">
            <v>6.6784930000000005</v>
          </cell>
          <cell r="FR103">
            <v>3.26356</v>
          </cell>
          <cell r="FS103">
            <v>5.6056499999999998</v>
          </cell>
          <cell r="FT103">
            <v>8.8013119</v>
          </cell>
          <cell r="FU103">
            <v>2.2759999999999998</v>
          </cell>
          <cell r="FV103" t="str">
            <v>nd</v>
          </cell>
          <cell r="FW103">
            <v>1.01111</v>
          </cell>
          <cell r="FX103">
            <v>1.3420100000000001</v>
          </cell>
          <cell r="FY103">
            <v>0.86710999999999994</v>
          </cell>
          <cell r="FZ103">
            <v>2.1644300000000003</v>
          </cell>
          <cell r="GA103">
            <v>0</v>
          </cell>
          <cell r="GB103">
            <v>0</v>
          </cell>
          <cell r="GC103">
            <v>0</v>
          </cell>
          <cell r="GD103">
            <v>0</v>
          </cell>
          <cell r="GE103" t="str">
            <v>nd</v>
          </cell>
          <cell r="GF103">
            <v>0</v>
          </cell>
          <cell r="GG103">
            <v>2.3286600000000002</v>
          </cell>
          <cell r="GH103">
            <v>0.93747000000000003</v>
          </cell>
          <cell r="GI103">
            <v>2.1758199999999999</v>
          </cell>
          <cell r="GJ103">
            <v>4.5565500000000005</v>
          </cell>
          <cell r="GK103" t="str">
            <v>nd</v>
          </cell>
          <cell r="GL103">
            <v>0</v>
          </cell>
          <cell r="GM103" t="str">
            <v>nd</v>
          </cell>
          <cell r="GN103">
            <v>4.9258199999999999</v>
          </cell>
          <cell r="GO103">
            <v>9.8617191000000002</v>
          </cell>
          <cell r="GP103">
            <v>13.180054</v>
          </cell>
          <cell r="GQ103">
            <v>15.732520599999999</v>
          </cell>
          <cell r="GR103">
            <v>0</v>
          </cell>
          <cell r="GS103">
            <v>0</v>
          </cell>
          <cell r="GT103">
            <v>0</v>
          </cell>
          <cell r="GU103" t="str">
            <v>nd</v>
          </cell>
          <cell r="GV103">
            <v>13.453773699999999</v>
          </cell>
          <cell r="GW103">
            <v>21.7808858</v>
          </cell>
          <cell r="GX103">
            <v>0</v>
          </cell>
          <cell r="GY103">
            <v>0</v>
          </cell>
          <cell r="GZ103">
            <v>0</v>
          </cell>
          <cell r="HA103">
            <v>0</v>
          </cell>
          <cell r="HB103">
            <v>2.9513000000000003</v>
          </cell>
          <cell r="HC103">
            <v>4.7108400000000001</v>
          </cell>
          <cell r="HD103">
            <v>0</v>
          </cell>
          <cell r="HE103">
            <v>0</v>
          </cell>
          <cell r="HF103">
            <v>0</v>
          </cell>
          <cell r="HG103">
            <v>0</v>
          </cell>
          <cell r="HH103" t="str">
            <v>nd</v>
          </cell>
          <cell r="HI103">
            <v>0</v>
          </cell>
          <cell r="HJ103">
            <v>0</v>
          </cell>
          <cell r="HK103">
            <v>0</v>
          </cell>
          <cell r="HL103" t="str">
            <v>nd</v>
          </cell>
          <cell r="HM103">
            <v>9.8536146999999996</v>
          </cell>
          <cell r="HN103" t="str">
            <v>nd</v>
          </cell>
          <cell r="HO103">
            <v>0</v>
          </cell>
          <cell r="HP103">
            <v>0</v>
          </cell>
          <cell r="HQ103">
            <v>0</v>
          </cell>
          <cell r="HR103">
            <v>2.29033</v>
          </cell>
          <cell r="HS103">
            <v>35.657742300000002</v>
          </cell>
          <cell r="HT103">
            <v>6.8596379999999995</v>
          </cell>
          <cell r="HU103">
            <v>0</v>
          </cell>
          <cell r="HV103">
            <v>0</v>
          </cell>
          <cell r="HW103" t="str">
            <v>nd</v>
          </cell>
          <cell r="HX103">
            <v>2.6464300000000001</v>
          </cell>
          <cell r="HY103">
            <v>26.465859899999998</v>
          </cell>
          <cell r="HZ103">
            <v>5.6655800000000003</v>
          </cell>
          <cell r="IA103">
            <v>0</v>
          </cell>
          <cell r="IB103">
            <v>0</v>
          </cell>
          <cell r="IC103">
            <v>0</v>
          </cell>
          <cell r="ID103" t="str">
            <v>nd</v>
          </cell>
          <cell r="IE103">
            <v>4.05586</v>
          </cell>
          <cell r="IF103">
            <v>2.16879</v>
          </cell>
          <cell r="IG103">
            <v>0</v>
          </cell>
          <cell r="IH103">
            <v>0</v>
          </cell>
          <cell r="II103">
            <v>0</v>
          </cell>
          <cell r="IJ103">
            <v>0</v>
          </cell>
          <cell r="IK103" t="str">
            <v>nd</v>
          </cell>
          <cell r="IL103">
            <v>0</v>
          </cell>
          <cell r="IM103">
            <v>0</v>
          </cell>
          <cell r="IN103">
            <v>1.7541199999999999</v>
          </cell>
          <cell r="IO103">
            <v>3.6466099999999999</v>
          </cell>
          <cell r="IP103">
            <v>5.1258699999999999</v>
          </cell>
          <cell r="IQ103" t="str">
            <v>nd</v>
          </cell>
          <cell r="IR103">
            <v>0</v>
          </cell>
          <cell r="IS103" t="str">
            <v>nd</v>
          </cell>
          <cell r="IT103">
            <v>0</v>
          </cell>
          <cell r="IU103">
            <v>11.922446900000001</v>
          </cell>
          <cell r="IV103">
            <v>26.849782700000002</v>
          </cell>
          <cell r="IW103">
            <v>4.6749499999999999</v>
          </cell>
          <cell r="IX103" t="str">
            <v>nd</v>
          </cell>
          <cell r="IY103" t="str">
            <v>nd</v>
          </cell>
          <cell r="IZ103">
            <v>0</v>
          </cell>
          <cell r="JA103">
            <v>7.0205926000000005</v>
          </cell>
          <cell r="JB103">
            <v>22.482228300000003</v>
          </cell>
          <cell r="JC103">
            <v>5.2710999999999997</v>
          </cell>
          <cell r="JD103">
            <v>0</v>
          </cell>
          <cell r="JE103">
            <v>0</v>
          </cell>
          <cell r="JF103">
            <v>0</v>
          </cell>
          <cell r="JG103">
            <v>1.4616400000000001</v>
          </cell>
          <cell r="JH103">
            <v>6.0824199999999999</v>
          </cell>
          <cell r="JI103">
            <v>0</v>
          </cell>
          <cell r="JJ103">
            <v>0</v>
          </cell>
          <cell r="JK103">
            <v>0</v>
          </cell>
          <cell r="JL103">
            <v>0</v>
          </cell>
          <cell r="JM103">
            <v>0</v>
          </cell>
          <cell r="JN103" t="str">
            <v>nd</v>
          </cell>
          <cell r="JO103">
            <v>0</v>
          </cell>
          <cell r="JP103">
            <v>0</v>
          </cell>
          <cell r="JQ103">
            <v>0</v>
          </cell>
          <cell r="JR103">
            <v>0</v>
          </cell>
          <cell r="JS103" t="str">
            <v>nd</v>
          </cell>
          <cell r="JT103">
            <v>10.4013379</v>
          </cell>
          <cell r="JU103">
            <v>0</v>
          </cell>
          <cell r="JV103">
            <v>0</v>
          </cell>
          <cell r="JW103">
            <v>0</v>
          </cell>
          <cell r="JX103">
            <v>0</v>
          </cell>
          <cell r="JY103" t="str">
            <v>nd</v>
          </cell>
          <cell r="JZ103">
            <v>43.996836000000002</v>
          </cell>
          <cell r="KA103">
            <v>0</v>
          </cell>
          <cell r="KB103">
            <v>0</v>
          </cell>
          <cell r="KC103">
            <v>0</v>
          </cell>
          <cell r="KD103" t="str">
            <v>nd</v>
          </cell>
          <cell r="KE103">
            <v>0</v>
          </cell>
          <cell r="KF103">
            <v>35.5709789</v>
          </cell>
          <cell r="KG103">
            <v>0</v>
          </cell>
          <cell r="KH103">
            <v>0</v>
          </cell>
          <cell r="KI103">
            <v>0</v>
          </cell>
          <cell r="KJ103">
            <v>0</v>
          </cell>
          <cell r="KK103">
            <v>0</v>
          </cell>
          <cell r="KL103">
            <v>7.0783890999999999</v>
          </cell>
          <cell r="KM103">
            <v>46.1</v>
          </cell>
          <cell r="KN103">
            <v>31</v>
          </cell>
          <cell r="KO103">
            <v>9.1</v>
          </cell>
          <cell r="KP103">
            <v>5.0999999999999996</v>
          </cell>
          <cell r="KQ103">
            <v>8.6</v>
          </cell>
          <cell r="KR103">
            <v>0.1</v>
          </cell>
          <cell r="KS103">
            <v>45.2</v>
          </cell>
          <cell r="KT103">
            <v>29.9</v>
          </cell>
          <cell r="KU103">
            <v>9.5</v>
          </cell>
          <cell r="KV103">
            <v>5.3</v>
          </cell>
          <cell r="KW103">
            <v>9.8000000000000007</v>
          </cell>
          <cell r="KX103">
            <v>0.1</v>
          </cell>
          <cell r="KY103"/>
          <cell r="KZ103"/>
          <cell r="LA103"/>
          <cell r="LB103"/>
          <cell r="LC103"/>
          <cell r="LD103"/>
          <cell r="LE103"/>
          <cell r="LF103"/>
          <cell r="LG103"/>
          <cell r="LH103"/>
          <cell r="LI103"/>
          <cell r="LJ103"/>
          <cell r="LK103"/>
          <cell r="LL103"/>
          <cell r="LM103"/>
          <cell r="LN103"/>
          <cell r="LO103"/>
        </row>
        <row r="104">
          <cell r="A104" t="str">
            <v>6MN</v>
          </cell>
          <cell r="B104" t="str">
            <v>104</v>
          </cell>
          <cell r="C104" t="str">
            <v>NAF 17</v>
          </cell>
          <cell r="D104" t="str">
            <v>MN</v>
          </cell>
          <cell r="E104" t="str">
            <v>6</v>
          </cell>
          <cell r="F104">
            <v>1.2</v>
          </cell>
          <cell r="G104">
            <v>14.099999999999998</v>
          </cell>
          <cell r="H104">
            <v>55.1</v>
          </cell>
          <cell r="I104">
            <v>21.099999999999998</v>
          </cell>
          <cell r="J104">
            <v>8.6</v>
          </cell>
          <cell r="K104">
            <v>71</v>
          </cell>
          <cell r="L104">
            <v>20.5</v>
          </cell>
          <cell r="M104">
            <v>2.5</v>
          </cell>
          <cell r="N104">
            <v>6.1</v>
          </cell>
          <cell r="O104">
            <v>40.799999999999997</v>
          </cell>
          <cell r="P104">
            <v>30.2</v>
          </cell>
          <cell r="Q104">
            <v>8.3000000000000007</v>
          </cell>
          <cell r="R104">
            <v>2.6</v>
          </cell>
          <cell r="S104">
            <v>11.700000000000001</v>
          </cell>
          <cell r="T104">
            <v>40.9</v>
          </cell>
          <cell r="U104">
            <v>11.700000000000001</v>
          </cell>
          <cell r="V104">
            <v>26.400000000000002</v>
          </cell>
          <cell r="W104">
            <v>23.599999999999998</v>
          </cell>
          <cell r="X104">
            <v>63.5</v>
          </cell>
          <cell r="Y104">
            <v>12.9</v>
          </cell>
          <cell r="Z104" t="str">
            <v>nd</v>
          </cell>
          <cell r="AA104">
            <v>57.199999999999996</v>
          </cell>
          <cell r="AB104">
            <v>10.5</v>
          </cell>
          <cell r="AC104">
            <v>63.800000000000004</v>
          </cell>
          <cell r="AD104">
            <v>36.199999999999996</v>
          </cell>
          <cell r="AE104">
            <v>69.5</v>
          </cell>
          <cell r="AF104">
            <v>30.5</v>
          </cell>
          <cell r="AG104">
            <v>66.100000000000009</v>
          </cell>
          <cell r="AH104">
            <v>33.900000000000006</v>
          </cell>
          <cell r="AI104">
            <v>55.1</v>
          </cell>
          <cell r="AJ104">
            <v>17.2</v>
          </cell>
          <cell r="AK104">
            <v>2.8000000000000003</v>
          </cell>
          <cell r="AL104">
            <v>22.900000000000002</v>
          </cell>
          <cell r="AM104">
            <v>2.1</v>
          </cell>
          <cell r="AN104">
            <v>6.1</v>
          </cell>
          <cell r="AO104">
            <v>3.2</v>
          </cell>
          <cell r="AP104">
            <v>11.3</v>
          </cell>
          <cell r="AQ104">
            <v>55.800000000000004</v>
          </cell>
          <cell r="AR104">
            <v>23.7</v>
          </cell>
          <cell r="AS104">
            <v>38.4</v>
          </cell>
          <cell r="AT104">
            <v>24.7</v>
          </cell>
          <cell r="AU104">
            <v>10.7</v>
          </cell>
          <cell r="AV104">
            <v>16.2</v>
          </cell>
          <cell r="AW104">
            <v>6.8000000000000007</v>
          </cell>
          <cell r="AX104">
            <v>3.2</v>
          </cell>
          <cell r="AY104">
            <v>10.100000000000001</v>
          </cell>
          <cell r="AZ104">
            <v>14.000000000000002</v>
          </cell>
          <cell r="BA104">
            <v>9.1999999999999993</v>
          </cell>
          <cell r="BB104">
            <v>15.6</v>
          </cell>
          <cell r="BC104">
            <v>34.5</v>
          </cell>
          <cell r="BD104">
            <v>16.600000000000001</v>
          </cell>
          <cell r="BE104">
            <v>0.8</v>
          </cell>
          <cell r="BF104">
            <v>4</v>
          </cell>
          <cell r="BG104">
            <v>4</v>
          </cell>
          <cell r="BH104">
            <v>9.7000000000000011</v>
          </cell>
          <cell r="BI104">
            <v>45.2</v>
          </cell>
          <cell r="BJ104">
            <v>36.199999999999996</v>
          </cell>
          <cell r="BK104">
            <v>0</v>
          </cell>
          <cell r="BL104">
            <v>0</v>
          </cell>
          <cell r="BM104" t="str">
            <v>nd</v>
          </cell>
          <cell r="BN104">
            <v>7.6</v>
          </cell>
          <cell r="BO104">
            <v>83.5</v>
          </cell>
          <cell r="BP104">
            <v>8.1</v>
          </cell>
          <cell r="BQ104" t="str">
            <v>nd</v>
          </cell>
          <cell r="BR104" t="str">
            <v>nd</v>
          </cell>
          <cell r="BS104">
            <v>1</v>
          </cell>
          <cell r="BT104">
            <v>17.5</v>
          </cell>
          <cell r="BU104">
            <v>76.7</v>
          </cell>
          <cell r="BV104">
            <v>4.3</v>
          </cell>
          <cell r="BW104">
            <v>0</v>
          </cell>
          <cell r="BX104">
            <v>0</v>
          </cell>
          <cell r="BY104">
            <v>0</v>
          </cell>
          <cell r="BZ104" t="str">
            <v>nd</v>
          </cell>
          <cell r="CA104">
            <v>2.5</v>
          </cell>
          <cell r="CB104">
            <v>97.1</v>
          </cell>
          <cell r="CC104">
            <v>11.200000000000001</v>
          </cell>
          <cell r="CD104">
            <v>15.8</v>
          </cell>
          <cell r="CE104">
            <v>1.4000000000000001</v>
          </cell>
          <cell r="CF104" t="str">
            <v>nd</v>
          </cell>
          <cell r="CG104" t="str">
            <v>nd</v>
          </cell>
          <cell r="CH104">
            <v>17.5</v>
          </cell>
          <cell r="CI104">
            <v>14.6</v>
          </cell>
          <cell r="CJ104">
            <v>58.3</v>
          </cell>
          <cell r="CK104">
            <v>36.700000000000003</v>
          </cell>
          <cell r="CL104">
            <v>5.6000000000000005</v>
          </cell>
          <cell r="CM104">
            <v>2.5</v>
          </cell>
          <cell r="CN104">
            <v>2.1</v>
          </cell>
          <cell r="CO104">
            <v>62.5</v>
          </cell>
          <cell r="CP104">
            <v>22.5</v>
          </cell>
          <cell r="CQ104">
            <v>25.8</v>
          </cell>
          <cell r="CR104">
            <v>24.4</v>
          </cell>
          <cell r="CS104">
            <v>27.3</v>
          </cell>
          <cell r="CT104">
            <v>32.9</v>
          </cell>
          <cell r="CU104">
            <v>67.100000000000009</v>
          </cell>
          <cell r="CV104">
            <v>44.6</v>
          </cell>
          <cell r="CW104">
            <v>55.400000000000006</v>
          </cell>
          <cell r="CX104">
            <v>34.699999999999996</v>
          </cell>
          <cell r="CY104">
            <v>18.3</v>
          </cell>
          <cell r="CZ104">
            <v>47</v>
          </cell>
          <cell r="DA104">
            <v>10.9</v>
          </cell>
          <cell r="DB104">
            <v>2.1999999999999997</v>
          </cell>
          <cell r="DC104">
            <v>3.1</v>
          </cell>
          <cell r="DD104">
            <v>0</v>
          </cell>
          <cell r="DE104">
            <v>85.7</v>
          </cell>
          <cell r="DF104">
            <v>6.4</v>
          </cell>
          <cell r="DG104">
            <v>10.299999999999999</v>
          </cell>
          <cell r="DH104">
            <v>17</v>
          </cell>
          <cell r="DI104">
            <v>24.3</v>
          </cell>
          <cell r="DJ104">
            <v>24.099999999999998</v>
          </cell>
          <cell r="DK104">
            <v>18</v>
          </cell>
          <cell r="DL104">
            <v>8.2000000000000011</v>
          </cell>
          <cell r="DM104">
            <v>47.199999999999996</v>
          </cell>
          <cell r="DN104">
            <v>10.8</v>
          </cell>
          <cell r="DO104">
            <v>32.700000000000003</v>
          </cell>
          <cell r="DP104">
            <v>27.400000000000002</v>
          </cell>
          <cell r="DQ104">
            <v>14.299999999999999</v>
          </cell>
          <cell r="DR104">
            <v>8.5</v>
          </cell>
          <cell r="DS104">
            <v>20.3</v>
          </cell>
          <cell r="DT104">
            <v>16.2</v>
          </cell>
          <cell r="DU104">
            <v>0</v>
          </cell>
          <cell r="DV104">
            <v>1.1173300000000002</v>
          </cell>
          <cell r="DW104">
            <v>0</v>
          </cell>
          <cell r="DX104">
            <v>0</v>
          </cell>
          <cell r="DY104">
            <v>0.10436499999999999</v>
          </cell>
          <cell r="DZ104">
            <v>5.4197299999999995</v>
          </cell>
          <cell r="EA104">
            <v>1.02878</v>
          </cell>
          <cell r="EB104">
            <v>3.3891900000000001</v>
          </cell>
          <cell r="EC104">
            <v>1.87263</v>
          </cell>
          <cell r="ED104">
            <v>2.08284</v>
          </cell>
          <cell r="EE104">
            <v>0.22086500000000001</v>
          </cell>
          <cell r="EF104">
            <v>22.911942499999999</v>
          </cell>
          <cell r="EG104">
            <v>16.751442600000001</v>
          </cell>
          <cell r="EH104">
            <v>4.1933699999999998</v>
          </cell>
          <cell r="EI104">
            <v>8.7719316000000003</v>
          </cell>
          <cell r="EJ104">
            <v>2.0498700000000003</v>
          </cell>
          <cell r="EK104">
            <v>0.82782</v>
          </cell>
          <cell r="EL104">
            <v>8.0713807000000006</v>
          </cell>
          <cell r="EM104">
            <v>1.34744</v>
          </cell>
          <cell r="EN104">
            <v>3.1124099999999997</v>
          </cell>
          <cell r="EO104">
            <v>4.9778099999999998</v>
          </cell>
          <cell r="EP104">
            <v>1.1114999999999999</v>
          </cell>
          <cell r="EQ104">
            <v>2.0267500000000003</v>
          </cell>
          <cell r="ER104">
            <v>1.96923</v>
          </cell>
          <cell r="ES104">
            <v>5.5757300000000001</v>
          </cell>
          <cell r="ET104" t="str">
            <v>nd</v>
          </cell>
          <cell r="EU104">
            <v>0.56997200000000003</v>
          </cell>
          <cell r="EV104">
            <v>0.45170499999999997</v>
          </cell>
          <cell r="EW104">
            <v>0</v>
          </cell>
          <cell r="EX104" t="str">
            <v>nd</v>
          </cell>
          <cell r="EY104" t="str">
            <v>nd</v>
          </cell>
          <cell r="EZ104">
            <v>0</v>
          </cell>
          <cell r="FA104" t="str">
            <v>nd</v>
          </cell>
          <cell r="FB104">
            <v>0.89221000000000006</v>
          </cell>
          <cell r="FC104">
            <v>1.57026</v>
          </cell>
          <cell r="FD104">
            <v>0.92676000000000003</v>
          </cell>
          <cell r="FE104">
            <v>0.88797999999999999</v>
          </cell>
          <cell r="FF104">
            <v>1.19652</v>
          </cell>
          <cell r="FG104">
            <v>8.1516482000000003</v>
          </cell>
          <cell r="FH104">
            <v>1.5727600000000002</v>
          </cell>
          <cell r="FI104">
            <v>3.0984600000000002</v>
          </cell>
          <cell r="FJ104">
            <v>9.5245017000000001</v>
          </cell>
          <cell r="FK104">
            <v>6.3543839000000002</v>
          </cell>
          <cell r="FL104">
            <v>5.9446400000000006</v>
          </cell>
          <cell r="FM104">
            <v>21.872285599999998</v>
          </cell>
          <cell r="FN104">
            <v>8.5970446000000003</v>
          </cell>
          <cell r="FO104">
            <v>4.9222299999999999</v>
          </cell>
          <cell r="FP104">
            <v>2.90822</v>
          </cell>
          <cell r="FQ104">
            <v>1.9501299999999999</v>
          </cell>
          <cell r="FR104">
            <v>3.6212</v>
          </cell>
          <cell r="FS104">
            <v>3.4605299999999999</v>
          </cell>
          <cell r="FT104">
            <v>3.7747299999999999</v>
          </cell>
          <cell r="FU104">
            <v>0.46659099999999998</v>
          </cell>
          <cell r="FV104">
            <v>0.62149500000000002</v>
          </cell>
          <cell r="FW104">
            <v>0</v>
          </cell>
          <cell r="FX104">
            <v>4.7977699999999999</v>
          </cell>
          <cell r="FY104">
            <v>0.83221999999999996</v>
          </cell>
          <cell r="FZ104">
            <v>1.7331200000000002</v>
          </cell>
          <cell r="GA104">
            <v>0.29026999999999997</v>
          </cell>
          <cell r="GB104">
            <v>0</v>
          </cell>
          <cell r="GC104">
            <v>0</v>
          </cell>
          <cell r="GD104">
            <v>0</v>
          </cell>
          <cell r="GE104">
            <v>0</v>
          </cell>
          <cell r="GF104" t="str">
            <v>nd</v>
          </cell>
          <cell r="GG104">
            <v>2.1945300000000003</v>
          </cell>
          <cell r="GH104">
            <v>2.6759600000000003</v>
          </cell>
          <cell r="GI104">
            <v>1.3986699999999999</v>
          </cell>
          <cell r="GJ104">
            <v>2.8047399999999998</v>
          </cell>
          <cell r="GK104">
            <v>5.0026200000000003</v>
          </cell>
          <cell r="GL104" t="str">
            <v>nd</v>
          </cell>
          <cell r="GM104">
            <v>0.98705000000000009</v>
          </cell>
          <cell r="GN104">
            <v>1.3370599999999999</v>
          </cell>
          <cell r="GO104">
            <v>6.2038099999999998</v>
          </cell>
          <cell r="GP104">
            <v>32.050409899999998</v>
          </cell>
          <cell r="GQ104">
            <v>13.652683099999999</v>
          </cell>
          <cell r="GR104">
            <v>0</v>
          </cell>
          <cell r="GS104">
            <v>0</v>
          </cell>
          <cell r="GT104">
            <v>0</v>
          </cell>
          <cell r="GU104">
            <v>1.44865</v>
          </cell>
          <cell r="GV104">
            <v>7.1756452999999993</v>
          </cell>
          <cell r="GW104">
            <v>12.531499700000001</v>
          </cell>
          <cell r="GX104" t="str">
            <v>nd</v>
          </cell>
          <cell r="GY104">
            <v>0</v>
          </cell>
          <cell r="GZ104">
            <v>0</v>
          </cell>
          <cell r="HA104">
            <v>0.65368099999999996</v>
          </cell>
          <cell r="HB104">
            <v>3.1556700000000002</v>
          </cell>
          <cell r="HC104">
            <v>5.0367199999999999</v>
          </cell>
          <cell r="HD104">
            <v>0</v>
          </cell>
          <cell r="HE104">
            <v>0.45796700000000001</v>
          </cell>
          <cell r="HF104">
            <v>0</v>
          </cell>
          <cell r="HG104" t="str">
            <v>nd</v>
          </cell>
          <cell r="HH104">
            <v>0</v>
          </cell>
          <cell r="HI104">
            <v>0</v>
          </cell>
          <cell r="HJ104">
            <v>0</v>
          </cell>
          <cell r="HK104">
            <v>0</v>
          </cell>
          <cell r="HL104" t="str">
            <v>nd</v>
          </cell>
          <cell r="HM104">
            <v>13.0558227</v>
          </cell>
          <cell r="HN104">
            <v>0.24248600000000001</v>
          </cell>
          <cell r="HO104">
            <v>0</v>
          </cell>
          <cell r="HP104">
            <v>0</v>
          </cell>
          <cell r="HQ104">
            <v>0</v>
          </cell>
          <cell r="HR104">
            <v>4.8254799999999998</v>
          </cell>
          <cell r="HS104">
            <v>46.971650199999999</v>
          </cell>
          <cell r="HT104">
            <v>3.7664799999999996</v>
          </cell>
          <cell r="HU104">
            <v>0</v>
          </cell>
          <cell r="HV104">
            <v>0</v>
          </cell>
          <cell r="HW104" t="str">
            <v>nd</v>
          </cell>
          <cell r="HX104">
            <v>0.89151999999999998</v>
          </cell>
          <cell r="HY104">
            <v>15.453002900000001</v>
          </cell>
          <cell r="HZ104">
            <v>3.1364900000000002</v>
          </cell>
          <cell r="IA104">
            <v>0</v>
          </cell>
          <cell r="IB104">
            <v>0</v>
          </cell>
          <cell r="IC104">
            <v>0</v>
          </cell>
          <cell r="ID104">
            <v>0.413157</v>
          </cell>
          <cell r="IE104">
            <v>7.5213213000000003</v>
          </cell>
          <cell r="IF104">
            <v>0.92609000000000008</v>
          </cell>
          <cell r="IG104">
            <v>0</v>
          </cell>
          <cell r="IH104">
            <v>0.36377900000000002</v>
          </cell>
          <cell r="II104">
            <v>0</v>
          </cell>
          <cell r="IJ104" t="str">
            <v>nd</v>
          </cell>
          <cell r="IK104" t="str">
            <v>nd</v>
          </cell>
          <cell r="IL104">
            <v>0</v>
          </cell>
          <cell r="IM104">
            <v>0</v>
          </cell>
          <cell r="IN104" t="str">
            <v>nd</v>
          </cell>
          <cell r="IO104">
            <v>3.0248599999999999</v>
          </cell>
          <cell r="IP104">
            <v>10.619976599999999</v>
          </cell>
          <cell r="IQ104" t="str">
            <v>nd</v>
          </cell>
          <cell r="IR104" t="str">
            <v>nd</v>
          </cell>
          <cell r="IS104">
            <v>0</v>
          </cell>
          <cell r="IT104">
            <v>0.50358800000000004</v>
          </cell>
          <cell r="IU104">
            <v>7.6497992999999997</v>
          </cell>
          <cell r="IV104">
            <v>45.128066199999999</v>
          </cell>
          <cell r="IW104">
            <v>2.1589299999999998</v>
          </cell>
          <cell r="IX104">
            <v>0</v>
          </cell>
          <cell r="IY104" t="str">
            <v>nd</v>
          </cell>
          <cell r="IZ104">
            <v>0.35583399999999998</v>
          </cell>
          <cell r="JA104">
            <v>5.1497299999999999</v>
          </cell>
          <cell r="JB104">
            <v>13.271371200000001</v>
          </cell>
          <cell r="JC104">
            <v>1.60206</v>
          </cell>
          <cell r="JD104">
            <v>0</v>
          </cell>
          <cell r="JE104" t="str">
            <v>nd</v>
          </cell>
          <cell r="JF104">
            <v>0</v>
          </cell>
          <cell r="JG104">
            <v>0.91816999999999993</v>
          </cell>
          <cell r="JH104">
            <v>7.3304379000000006</v>
          </cell>
          <cell r="JI104">
            <v>0.33169900000000002</v>
          </cell>
          <cell r="JJ104">
            <v>0</v>
          </cell>
          <cell r="JK104" t="str">
            <v>nd</v>
          </cell>
          <cell r="JL104">
            <v>0</v>
          </cell>
          <cell r="JM104">
            <v>0</v>
          </cell>
          <cell r="JN104">
            <v>0.35535800000000001</v>
          </cell>
          <cell r="JO104">
            <v>0</v>
          </cell>
          <cell r="JP104">
            <v>0</v>
          </cell>
          <cell r="JQ104">
            <v>0</v>
          </cell>
          <cell r="JR104">
            <v>0</v>
          </cell>
          <cell r="JS104" t="str">
            <v>nd</v>
          </cell>
          <cell r="JT104">
            <v>13.835328899999999</v>
          </cell>
          <cell r="JU104">
            <v>0</v>
          </cell>
          <cell r="JV104">
            <v>0</v>
          </cell>
          <cell r="JW104">
            <v>0</v>
          </cell>
          <cell r="JX104" t="str">
            <v>nd</v>
          </cell>
          <cell r="JY104">
            <v>1.2456</v>
          </cell>
          <cell r="JZ104">
            <v>53.478220899999997</v>
          </cell>
          <cell r="KA104">
            <v>0</v>
          </cell>
          <cell r="KB104">
            <v>0</v>
          </cell>
          <cell r="KC104">
            <v>0</v>
          </cell>
          <cell r="KD104" t="str">
            <v>nd</v>
          </cell>
          <cell r="KE104" t="str">
            <v>nd</v>
          </cell>
          <cell r="KF104">
            <v>20.5618546</v>
          </cell>
          <cell r="KG104">
            <v>0</v>
          </cell>
          <cell r="KH104">
            <v>0</v>
          </cell>
          <cell r="KI104">
            <v>0</v>
          </cell>
          <cell r="KJ104">
            <v>0</v>
          </cell>
          <cell r="KK104">
            <v>0</v>
          </cell>
          <cell r="KL104">
            <v>8.8697847000000003</v>
          </cell>
          <cell r="KM104">
            <v>54.500000000000007</v>
          </cell>
          <cell r="KN104">
            <v>24.4</v>
          </cell>
          <cell r="KO104">
            <v>8.1</v>
          </cell>
          <cell r="KP104">
            <v>5.5</v>
          </cell>
          <cell r="KQ104">
            <v>7.3</v>
          </cell>
          <cell r="KR104">
            <v>0.2</v>
          </cell>
          <cell r="KS104">
            <v>53.6</v>
          </cell>
          <cell r="KT104">
            <v>24.099999999999998</v>
          </cell>
          <cell r="KU104">
            <v>8.2000000000000011</v>
          </cell>
          <cell r="KV104">
            <v>5.8000000000000007</v>
          </cell>
          <cell r="KW104">
            <v>8.1</v>
          </cell>
          <cell r="KX104">
            <v>0.2</v>
          </cell>
          <cell r="KY104"/>
          <cell r="KZ104"/>
          <cell r="LA104"/>
          <cell r="LB104"/>
          <cell r="LC104"/>
          <cell r="LD104"/>
          <cell r="LE104"/>
          <cell r="LF104"/>
          <cell r="LG104"/>
          <cell r="LH104"/>
          <cell r="LI104"/>
          <cell r="LJ104"/>
          <cell r="LK104"/>
          <cell r="LL104"/>
          <cell r="LM104"/>
          <cell r="LN104"/>
          <cell r="LO104"/>
        </row>
        <row r="105">
          <cell r="A105" t="str">
            <v>EnsOQ</v>
          </cell>
          <cell r="B105" t="str">
            <v>105</v>
          </cell>
          <cell r="C105" t="str">
            <v>NAF 17</v>
          </cell>
          <cell r="D105" t="str">
            <v>OQ</v>
          </cell>
          <cell r="E105" t="str">
            <v/>
          </cell>
          <cell r="F105">
            <v>0.5</v>
          </cell>
          <cell r="G105">
            <v>7.7</v>
          </cell>
          <cell r="H105">
            <v>33.1</v>
          </cell>
          <cell r="I105">
            <v>47</v>
          </cell>
          <cell r="J105">
            <v>11.600000000000001</v>
          </cell>
          <cell r="K105">
            <v>44.7</v>
          </cell>
          <cell r="L105">
            <v>30.7</v>
          </cell>
          <cell r="M105">
            <v>5.3</v>
          </cell>
          <cell r="N105">
            <v>19.3</v>
          </cell>
          <cell r="O105">
            <v>23.400000000000002</v>
          </cell>
          <cell r="P105">
            <v>46.300000000000004</v>
          </cell>
          <cell r="Q105">
            <v>9.9</v>
          </cell>
          <cell r="R105">
            <v>4.5999999999999996</v>
          </cell>
          <cell r="S105">
            <v>28.999999999999996</v>
          </cell>
          <cell r="T105">
            <v>15.299999999999999</v>
          </cell>
          <cell r="U105">
            <v>6.2</v>
          </cell>
          <cell r="V105">
            <v>22.3</v>
          </cell>
          <cell r="W105">
            <v>9.1999999999999993</v>
          </cell>
          <cell r="X105">
            <v>82.399999999999991</v>
          </cell>
          <cell r="Y105">
            <v>8.4</v>
          </cell>
          <cell r="Z105">
            <v>2.2999999999999998</v>
          </cell>
          <cell r="AA105">
            <v>56.999999999999993</v>
          </cell>
          <cell r="AB105">
            <v>5.8000000000000007</v>
          </cell>
          <cell r="AC105">
            <v>41.9</v>
          </cell>
          <cell r="AD105">
            <v>29.099999999999998</v>
          </cell>
          <cell r="AE105">
            <v>47.599999999999994</v>
          </cell>
          <cell r="AF105">
            <v>52.400000000000006</v>
          </cell>
          <cell r="AG105">
            <v>80.900000000000006</v>
          </cell>
          <cell r="AH105">
            <v>19.100000000000001</v>
          </cell>
          <cell r="AI105">
            <v>16.900000000000002</v>
          </cell>
          <cell r="AJ105">
            <v>9.9</v>
          </cell>
          <cell r="AK105">
            <v>3</v>
          </cell>
          <cell r="AL105">
            <v>65</v>
          </cell>
          <cell r="AM105">
            <v>5.3</v>
          </cell>
          <cell r="AN105">
            <v>2.5</v>
          </cell>
          <cell r="AO105">
            <v>1.3</v>
          </cell>
          <cell r="AP105">
            <v>1.9</v>
          </cell>
          <cell r="AQ105">
            <v>84.2</v>
          </cell>
          <cell r="AR105">
            <v>10.100000000000001</v>
          </cell>
          <cell r="AS105">
            <v>78.8</v>
          </cell>
          <cell r="AT105">
            <v>11</v>
          </cell>
          <cell r="AU105">
            <v>2.5</v>
          </cell>
          <cell r="AV105">
            <v>1.7999999999999998</v>
          </cell>
          <cell r="AW105">
            <v>1.3</v>
          </cell>
          <cell r="AX105">
            <v>4.5999999999999996</v>
          </cell>
          <cell r="AY105">
            <v>2.1</v>
          </cell>
          <cell r="AZ105">
            <v>2.4</v>
          </cell>
          <cell r="BA105">
            <v>2.4</v>
          </cell>
          <cell r="BB105">
            <v>6.6000000000000005</v>
          </cell>
          <cell r="BC105">
            <v>35.299999999999997</v>
          </cell>
          <cell r="BD105">
            <v>51.2</v>
          </cell>
          <cell r="BE105">
            <v>0.4</v>
          </cell>
          <cell r="BF105">
            <v>0.3</v>
          </cell>
          <cell r="BG105">
            <v>0.8</v>
          </cell>
          <cell r="BH105">
            <v>3.9</v>
          </cell>
          <cell r="BI105">
            <v>34.699999999999996</v>
          </cell>
          <cell r="BJ105">
            <v>60</v>
          </cell>
          <cell r="BK105" t="str">
            <v>nd</v>
          </cell>
          <cell r="BL105">
            <v>0.1</v>
          </cell>
          <cell r="BM105">
            <v>1</v>
          </cell>
          <cell r="BN105">
            <v>18</v>
          </cell>
          <cell r="BO105">
            <v>62.8</v>
          </cell>
          <cell r="BP105">
            <v>18.2</v>
          </cell>
          <cell r="BQ105">
            <v>0.1</v>
          </cell>
          <cell r="BR105">
            <v>0.3</v>
          </cell>
          <cell r="BS105">
            <v>1.0999999999999999</v>
          </cell>
          <cell r="BT105">
            <v>12.5</v>
          </cell>
          <cell r="BU105">
            <v>58.3</v>
          </cell>
          <cell r="BV105">
            <v>27.700000000000003</v>
          </cell>
          <cell r="BW105">
            <v>0</v>
          </cell>
          <cell r="BX105">
            <v>0</v>
          </cell>
          <cell r="BY105">
            <v>0</v>
          </cell>
          <cell r="BZ105" t="str">
            <v>nd</v>
          </cell>
          <cell r="CA105">
            <v>0.70000000000000007</v>
          </cell>
          <cell r="CB105">
            <v>99.2</v>
          </cell>
          <cell r="CC105">
            <v>20.100000000000001</v>
          </cell>
          <cell r="CD105">
            <v>7.1999999999999993</v>
          </cell>
          <cell r="CE105">
            <v>2</v>
          </cell>
          <cell r="CF105">
            <v>2.4</v>
          </cell>
          <cell r="CG105">
            <v>0.6</v>
          </cell>
          <cell r="CH105">
            <v>11.3</v>
          </cell>
          <cell r="CI105">
            <v>10.4</v>
          </cell>
          <cell r="CJ105">
            <v>63.7</v>
          </cell>
          <cell r="CK105">
            <v>20.8</v>
          </cell>
          <cell r="CL105">
            <v>4.3999999999999995</v>
          </cell>
          <cell r="CM105">
            <v>7.0000000000000009</v>
          </cell>
          <cell r="CN105">
            <v>3.1</v>
          </cell>
          <cell r="CO105">
            <v>73.8</v>
          </cell>
          <cell r="CP105">
            <v>21.5</v>
          </cell>
          <cell r="CQ105">
            <v>25.7</v>
          </cell>
          <cell r="CR105">
            <v>13.600000000000001</v>
          </cell>
          <cell r="CS105">
            <v>39.200000000000003</v>
          </cell>
          <cell r="CT105">
            <v>33.700000000000003</v>
          </cell>
          <cell r="CU105">
            <v>66.3</v>
          </cell>
          <cell r="CV105">
            <v>23.1</v>
          </cell>
          <cell r="CW105">
            <v>76.900000000000006</v>
          </cell>
          <cell r="CX105">
            <v>12.3</v>
          </cell>
          <cell r="CY105">
            <v>14.000000000000002</v>
          </cell>
          <cell r="CZ105">
            <v>73.7</v>
          </cell>
          <cell r="DA105">
            <v>16.100000000000001</v>
          </cell>
          <cell r="DB105">
            <v>4.5</v>
          </cell>
          <cell r="DC105">
            <v>11.600000000000001</v>
          </cell>
          <cell r="DD105">
            <v>0.89999999999999991</v>
          </cell>
          <cell r="DE105">
            <v>74.099999999999994</v>
          </cell>
          <cell r="DF105">
            <v>22.2</v>
          </cell>
          <cell r="DG105">
            <v>11.4</v>
          </cell>
          <cell r="DH105">
            <v>29.5</v>
          </cell>
          <cell r="DI105">
            <v>9.5</v>
          </cell>
          <cell r="DJ105">
            <v>7.1999999999999993</v>
          </cell>
          <cell r="DK105">
            <v>20.100000000000001</v>
          </cell>
          <cell r="DL105">
            <v>20.3</v>
          </cell>
          <cell r="DM105">
            <v>15.7</v>
          </cell>
          <cell r="DN105">
            <v>19.400000000000002</v>
          </cell>
          <cell r="DO105">
            <v>41.199999999999996</v>
          </cell>
          <cell r="DP105">
            <v>7.1999999999999993</v>
          </cell>
          <cell r="DQ105">
            <v>1.9</v>
          </cell>
          <cell r="DR105">
            <v>5.3</v>
          </cell>
          <cell r="DS105">
            <v>19.100000000000001</v>
          </cell>
          <cell r="DT105">
            <v>20.5</v>
          </cell>
          <cell r="DU105">
            <v>0.32162499999999999</v>
          </cell>
          <cell r="DV105" t="str">
            <v>nd</v>
          </cell>
          <cell r="DW105">
            <v>0</v>
          </cell>
          <cell r="DX105">
            <v>6.7551199999999992E-2</v>
          </cell>
          <cell r="DY105">
            <v>0.145567</v>
          </cell>
          <cell r="DZ105">
            <v>4.6538599999999999</v>
          </cell>
          <cell r="EA105">
            <v>1.3255599999999998</v>
          </cell>
          <cell r="EB105">
            <v>0.46167400000000003</v>
          </cell>
          <cell r="EC105">
            <v>0.60867400000000005</v>
          </cell>
          <cell r="ED105">
            <v>0.122422</v>
          </cell>
          <cell r="EE105">
            <v>0.33865899999999999</v>
          </cell>
          <cell r="EF105">
            <v>24.601607900000001</v>
          </cell>
          <cell r="EG105">
            <v>5.3136200000000002</v>
          </cell>
          <cell r="EH105">
            <v>0.98823000000000005</v>
          </cell>
          <cell r="EI105">
            <v>0.55877299999999996</v>
          </cell>
          <cell r="EJ105">
            <v>0.42161999999999999</v>
          </cell>
          <cell r="EK105">
            <v>1.2049399999999999</v>
          </cell>
          <cell r="EL105">
            <v>39.348102900000001</v>
          </cell>
          <cell r="EM105">
            <v>3.6014400000000002</v>
          </cell>
          <cell r="EN105">
            <v>0.9371799999999999</v>
          </cell>
          <cell r="EO105">
            <v>0.50851800000000003</v>
          </cell>
          <cell r="EP105">
            <v>0.63532199999999994</v>
          </cell>
          <cell r="EQ105">
            <v>2.0707900000000001</v>
          </cell>
          <cell r="ER105">
            <v>9.8008645000000012</v>
          </cell>
          <cell r="ES105">
            <v>0.82640999999999998</v>
          </cell>
          <cell r="ET105">
            <v>0.15966900000000001</v>
          </cell>
          <cell r="EU105">
            <v>7.257630000000001E-2</v>
          </cell>
          <cell r="EV105">
            <v>9.0018300000000009E-2</v>
          </cell>
          <cell r="EW105">
            <v>0.79889999999999994</v>
          </cell>
          <cell r="EX105" t="str">
            <v>nd</v>
          </cell>
          <cell r="EY105" t="str">
            <v>nd</v>
          </cell>
          <cell r="EZ105" t="str">
            <v>nd</v>
          </cell>
          <cell r="FA105">
            <v>7.2514200000000001E-2</v>
          </cell>
          <cell r="FB105">
            <v>0.30939899999999998</v>
          </cell>
          <cell r="FC105">
            <v>0.34590799999999999</v>
          </cell>
          <cell r="FD105">
            <v>0.26671699999999998</v>
          </cell>
          <cell r="FE105">
            <v>0.18943199999999999</v>
          </cell>
          <cell r="FF105">
            <v>0.73241800000000001</v>
          </cell>
          <cell r="FG105">
            <v>2.7853599999999998</v>
          </cell>
          <cell r="FH105">
            <v>3.45634</v>
          </cell>
          <cell r="FI105">
            <v>0.55803900000000006</v>
          </cell>
          <cell r="FJ105">
            <v>0.87785999999999997</v>
          </cell>
          <cell r="FK105">
            <v>0.86514999999999997</v>
          </cell>
          <cell r="FL105">
            <v>2.7983799999999999</v>
          </cell>
          <cell r="FM105">
            <v>13.407886299999999</v>
          </cell>
          <cell r="FN105">
            <v>14.494131800000002</v>
          </cell>
          <cell r="FO105">
            <v>1.1158599999999999</v>
          </cell>
          <cell r="FP105">
            <v>0.88844999999999996</v>
          </cell>
          <cell r="FQ105">
            <v>1.1586700000000001</v>
          </cell>
          <cell r="FR105">
            <v>2.5263599999999999</v>
          </cell>
          <cell r="FS105">
            <v>15.080907</v>
          </cell>
          <cell r="FT105">
            <v>26.327181199999998</v>
          </cell>
          <cell r="FU105" t="str">
            <v>nd</v>
          </cell>
          <cell r="FV105">
            <v>0.31915500000000002</v>
          </cell>
          <cell r="FW105">
            <v>0.21244800000000003</v>
          </cell>
          <cell r="FX105">
            <v>0.46588299999999999</v>
          </cell>
          <cell r="FY105">
            <v>3.8599199999999998</v>
          </cell>
          <cell r="FZ105">
            <v>6.6703490000000007</v>
          </cell>
          <cell r="GA105">
            <v>7.02628E-2</v>
          </cell>
          <cell r="GB105">
            <v>0.117228</v>
          </cell>
          <cell r="GC105" t="str">
            <v>nd</v>
          </cell>
          <cell r="GD105" t="str">
            <v>nd</v>
          </cell>
          <cell r="GE105">
            <v>0.28046599999999999</v>
          </cell>
          <cell r="GF105" t="str">
            <v>nd</v>
          </cell>
          <cell r="GG105">
            <v>0.21473799999999998</v>
          </cell>
          <cell r="GH105">
            <v>0.210669</v>
          </cell>
          <cell r="GI105">
            <v>0.63688900000000004</v>
          </cell>
          <cell r="GJ105">
            <v>2.3421399999999997</v>
          </cell>
          <cell r="GK105">
            <v>4.0696000000000003</v>
          </cell>
          <cell r="GL105" t="str">
            <v>nd</v>
          </cell>
          <cell r="GM105" t="str">
            <v>nd</v>
          </cell>
          <cell r="GN105">
            <v>0.51191799999999998</v>
          </cell>
          <cell r="GO105">
            <v>1.9343800000000002</v>
          </cell>
          <cell r="GP105">
            <v>15.1989661</v>
          </cell>
          <cell r="GQ105">
            <v>15.202471200000002</v>
          </cell>
          <cell r="GR105" t="str">
            <v>nd</v>
          </cell>
          <cell r="GS105" t="str">
            <v>nd</v>
          </cell>
          <cell r="GT105" t="str">
            <v>nd</v>
          </cell>
          <cell r="GU105">
            <v>1.09046</v>
          </cell>
          <cell r="GV105">
            <v>12.559328199999999</v>
          </cell>
          <cell r="GW105">
            <v>33.226452000000002</v>
          </cell>
          <cell r="GX105" t="str">
            <v>nd</v>
          </cell>
          <cell r="GY105" t="str">
            <v>nd</v>
          </cell>
          <cell r="GZ105">
            <v>0</v>
          </cell>
          <cell r="HA105">
            <v>0.197023</v>
          </cell>
          <cell r="HB105">
            <v>4.37751</v>
          </cell>
          <cell r="HC105">
            <v>7.2258201999999994</v>
          </cell>
          <cell r="HD105">
            <v>0</v>
          </cell>
          <cell r="HE105">
            <v>0.230071</v>
          </cell>
          <cell r="HF105">
            <v>0</v>
          </cell>
          <cell r="HG105">
            <v>0</v>
          </cell>
          <cell r="HH105">
            <v>0.35086100000000003</v>
          </cell>
          <cell r="HI105">
            <v>0</v>
          </cell>
          <cell r="HJ105">
            <v>0</v>
          </cell>
          <cell r="HK105" t="str">
            <v>nd</v>
          </cell>
          <cell r="HL105">
            <v>1.2615499999999999</v>
          </cell>
          <cell r="HM105">
            <v>4.2844300000000004</v>
          </cell>
          <cell r="HN105">
            <v>2.05945</v>
          </cell>
          <cell r="HO105">
            <v>0</v>
          </cell>
          <cell r="HP105">
            <v>0</v>
          </cell>
          <cell r="HQ105">
            <v>0.40479399999999999</v>
          </cell>
          <cell r="HR105">
            <v>6.7513391000000009</v>
          </cell>
          <cell r="HS105">
            <v>20.8033964</v>
          </cell>
          <cell r="HT105">
            <v>5.1193200000000001</v>
          </cell>
          <cell r="HU105" t="str">
            <v>nd</v>
          </cell>
          <cell r="HV105">
            <v>0</v>
          </cell>
          <cell r="HW105">
            <v>0.47996999999999995</v>
          </cell>
          <cell r="HX105">
            <v>7.8995224000000004</v>
          </cell>
          <cell r="HY105">
            <v>29.7617853</v>
          </cell>
          <cell r="HZ105">
            <v>9.0988531999999989</v>
          </cell>
          <cell r="IA105">
            <v>0</v>
          </cell>
          <cell r="IB105">
            <v>6.1911599999999997E-2</v>
          </cell>
          <cell r="IC105" t="str">
            <v>nd</v>
          </cell>
          <cell r="ID105">
            <v>2.1427100000000001</v>
          </cell>
          <cell r="IE105">
            <v>7.5657698</v>
          </cell>
          <cell r="IF105">
            <v>1.5947</v>
          </cell>
          <cell r="IG105">
            <v>0</v>
          </cell>
          <cell r="IH105">
            <v>8.3808199999999999E-2</v>
          </cell>
          <cell r="II105">
            <v>0</v>
          </cell>
          <cell r="IJ105">
            <v>0</v>
          </cell>
          <cell r="IK105">
            <v>0.42285300000000003</v>
          </cell>
          <cell r="IL105">
            <v>0</v>
          </cell>
          <cell r="IM105" t="str">
            <v>nd</v>
          </cell>
          <cell r="IN105" t="str">
            <v>nd</v>
          </cell>
          <cell r="IO105">
            <v>0.96784999999999999</v>
          </cell>
          <cell r="IP105">
            <v>2.9862699999999998</v>
          </cell>
          <cell r="IQ105">
            <v>3.4304199999999998</v>
          </cell>
          <cell r="IR105" t="str">
            <v>nd</v>
          </cell>
          <cell r="IS105" t="str">
            <v>nd</v>
          </cell>
          <cell r="IT105">
            <v>0.41816500000000001</v>
          </cell>
          <cell r="IU105">
            <v>3.5674799999999998</v>
          </cell>
          <cell r="IV105">
            <v>19.603908499999999</v>
          </cell>
          <cell r="IW105">
            <v>9.4007328999999995</v>
          </cell>
          <cell r="IX105" t="str">
            <v>nd</v>
          </cell>
          <cell r="IY105" t="str">
            <v>nd</v>
          </cell>
          <cell r="IZ105">
            <v>0.39535799999999999</v>
          </cell>
          <cell r="JA105">
            <v>5.8816600000000001</v>
          </cell>
          <cell r="JB105">
            <v>28.573602100000002</v>
          </cell>
          <cell r="JC105">
            <v>12.4293362</v>
          </cell>
          <cell r="JD105">
            <v>0</v>
          </cell>
          <cell r="JE105" t="str">
            <v>nd</v>
          </cell>
          <cell r="JF105" t="str">
            <v>nd</v>
          </cell>
          <cell r="JG105">
            <v>2.1262500000000002</v>
          </cell>
          <cell r="JH105">
            <v>6.9283119000000006</v>
          </cell>
          <cell r="JI105">
            <v>2.11253</v>
          </cell>
          <cell r="JJ105">
            <v>0</v>
          </cell>
          <cell r="JK105">
            <v>0</v>
          </cell>
          <cell r="JL105">
            <v>0</v>
          </cell>
          <cell r="JM105">
            <v>0</v>
          </cell>
          <cell r="JN105">
            <v>0.54308100000000004</v>
          </cell>
          <cell r="JO105">
            <v>0</v>
          </cell>
          <cell r="JP105">
            <v>0</v>
          </cell>
          <cell r="JQ105">
            <v>0</v>
          </cell>
          <cell r="JR105">
            <v>0</v>
          </cell>
          <cell r="JS105" t="str">
            <v>nd</v>
          </cell>
          <cell r="JT105">
            <v>7.5952641999999999</v>
          </cell>
          <cell r="JU105">
            <v>0</v>
          </cell>
          <cell r="JV105">
            <v>0</v>
          </cell>
          <cell r="JW105">
            <v>0</v>
          </cell>
          <cell r="JX105" t="str">
            <v>nd</v>
          </cell>
          <cell r="JY105">
            <v>0.45113799999999998</v>
          </cell>
          <cell r="JZ105">
            <v>32.5641982</v>
          </cell>
          <cell r="KA105">
            <v>0</v>
          </cell>
          <cell r="KB105">
            <v>0</v>
          </cell>
          <cell r="KC105">
            <v>0</v>
          </cell>
          <cell r="KD105">
            <v>0</v>
          </cell>
          <cell r="KE105">
            <v>0.205148</v>
          </cell>
          <cell r="KF105">
            <v>46.979962299999997</v>
          </cell>
          <cell r="KG105">
            <v>0</v>
          </cell>
          <cell r="KH105">
            <v>0</v>
          </cell>
          <cell r="KI105">
            <v>0</v>
          </cell>
          <cell r="KJ105">
            <v>0</v>
          </cell>
          <cell r="KK105" t="str">
            <v>nd</v>
          </cell>
          <cell r="KL105">
            <v>11.5588549</v>
          </cell>
          <cell r="KM105">
            <v>75.2</v>
          </cell>
          <cell r="KN105">
            <v>6.9</v>
          </cell>
          <cell r="KO105">
            <v>3.6999999999999997</v>
          </cell>
          <cell r="KP105">
            <v>7.5</v>
          </cell>
          <cell r="KQ105">
            <v>6.7</v>
          </cell>
          <cell r="KR105">
            <v>0</v>
          </cell>
          <cell r="KS105">
            <v>73.3</v>
          </cell>
          <cell r="KT105">
            <v>7.1</v>
          </cell>
          <cell r="KU105">
            <v>3.8</v>
          </cell>
          <cell r="KV105">
            <v>8.4</v>
          </cell>
          <cell r="KW105">
            <v>7.3</v>
          </cell>
          <cell r="KX105">
            <v>0</v>
          </cell>
          <cell r="KY105"/>
          <cell r="KZ105"/>
          <cell r="LA105"/>
          <cell r="LB105"/>
          <cell r="LC105"/>
          <cell r="LD105"/>
          <cell r="LE105"/>
          <cell r="LF105"/>
          <cell r="LG105"/>
          <cell r="LH105"/>
          <cell r="LI105"/>
          <cell r="LJ105"/>
          <cell r="LK105"/>
          <cell r="LL105"/>
          <cell r="LM105"/>
          <cell r="LN105"/>
          <cell r="LO105"/>
        </row>
        <row r="106">
          <cell r="A106" t="str">
            <v>1OQ</v>
          </cell>
          <cell r="B106" t="str">
            <v>106</v>
          </cell>
          <cell r="C106" t="str">
            <v>NAF 17</v>
          </cell>
          <cell r="D106" t="str">
            <v>OQ</v>
          </cell>
          <cell r="E106" t="str">
            <v>1</v>
          </cell>
          <cell r="F106">
            <v>2</v>
          </cell>
          <cell r="G106">
            <v>10.6</v>
          </cell>
          <cell r="H106">
            <v>34.699999999999996</v>
          </cell>
          <cell r="I106">
            <v>41.9</v>
          </cell>
          <cell r="J106">
            <v>10.8</v>
          </cell>
          <cell r="K106">
            <v>47.5</v>
          </cell>
          <cell r="L106">
            <v>39.200000000000003</v>
          </cell>
          <cell r="M106">
            <v>1.5</v>
          </cell>
          <cell r="N106">
            <v>11.799999999999999</v>
          </cell>
          <cell r="O106">
            <v>27.500000000000004</v>
          </cell>
          <cell r="P106">
            <v>33.300000000000004</v>
          </cell>
          <cell r="Q106">
            <v>8.4</v>
          </cell>
          <cell r="R106">
            <v>1</v>
          </cell>
          <cell r="S106">
            <v>14.2</v>
          </cell>
          <cell r="T106">
            <v>18.399999999999999</v>
          </cell>
          <cell r="U106">
            <v>6.5</v>
          </cell>
          <cell r="V106">
            <v>31.1</v>
          </cell>
          <cell r="W106">
            <v>7.8</v>
          </cell>
          <cell r="X106">
            <v>88.2</v>
          </cell>
          <cell r="Y106">
            <v>4.1000000000000005</v>
          </cell>
          <cell r="Z106">
            <v>0</v>
          </cell>
          <cell r="AA106">
            <v>27.400000000000002</v>
          </cell>
          <cell r="AB106" t="str">
            <v>nd</v>
          </cell>
          <cell r="AC106">
            <v>50</v>
          </cell>
          <cell r="AD106">
            <v>19.400000000000002</v>
          </cell>
          <cell r="AE106">
            <v>46.6</v>
          </cell>
          <cell r="AF106">
            <v>53.400000000000006</v>
          </cell>
          <cell r="AG106">
            <v>63.7</v>
          </cell>
          <cell r="AH106">
            <v>36.299999999999997</v>
          </cell>
          <cell r="AI106">
            <v>24.4</v>
          </cell>
          <cell r="AJ106">
            <v>17</v>
          </cell>
          <cell r="AK106">
            <v>3.4000000000000004</v>
          </cell>
          <cell r="AL106">
            <v>43.1</v>
          </cell>
          <cell r="AM106">
            <v>12.1</v>
          </cell>
          <cell r="AN106">
            <v>2.1999999999999997</v>
          </cell>
          <cell r="AO106" t="str">
            <v>nd</v>
          </cell>
          <cell r="AP106">
            <v>0</v>
          </cell>
          <cell r="AQ106">
            <v>90.8</v>
          </cell>
          <cell r="AR106">
            <v>5.8000000000000007</v>
          </cell>
          <cell r="AS106">
            <v>74.900000000000006</v>
          </cell>
          <cell r="AT106">
            <v>13.3</v>
          </cell>
          <cell r="AU106">
            <v>1.7999999999999998</v>
          </cell>
          <cell r="AV106">
            <v>0.8</v>
          </cell>
          <cell r="AW106">
            <v>1.7000000000000002</v>
          </cell>
          <cell r="AX106">
            <v>7.3999999999999995</v>
          </cell>
          <cell r="AY106">
            <v>2.2999999999999998</v>
          </cell>
          <cell r="AZ106">
            <v>1.6</v>
          </cell>
          <cell r="BA106">
            <v>2.9000000000000004</v>
          </cell>
          <cell r="BB106">
            <v>6.5</v>
          </cell>
          <cell r="BC106">
            <v>14.6</v>
          </cell>
          <cell r="BD106">
            <v>72.099999999999994</v>
          </cell>
          <cell r="BE106">
            <v>0.8</v>
          </cell>
          <cell r="BF106" t="str">
            <v>nd</v>
          </cell>
          <cell r="BG106" t="str">
            <v>nd</v>
          </cell>
          <cell r="BH106">
            <v>8.2000000000000011</v>
          </cell>
          <cell r="BI106">
            <v>19.8</v>
          </cell>
          <cell r="BJ106">
            <v>68.8</v>
          </cell>
          <cell r="BK106">
            <v>0</v>
          </cell>
          <cell r="BL106">
            <v>0</v>
          </cell>
          <cell r="BM106" t="str">
            <v>nd</v>
          </cell>
          <cell r="BN106">
            <v>7.0000000000000009</v>
          </cell>
          <cell r="BO106">
            <v>34.9</v>
          </cell>
          <cell r="BP106">
            <v>57.699999999999996</v>
          </cell>
          <cell r="BQ106">
            <v>0</v>
          </cell>
          <cell r="BR106">
            <v>2.7</v>
          </cell>
          <cell r="BS106" t="str">
            <v>nd</v>
          </cell>
          <cell r="BT106">
            <v>9.4</v>
          </cell>
          <cell r="BU106">
            <v>26.400000000000002</v>
          </cell>
          <cell r="BV106">
            <v>60.5</v>
          </cell>
          <cell r="BW106">
            <v>0</v>
          </cell>
          <cell r="BX106">
            <v>0</v>
          </cell>
          <cell r="BY106">
            <v>0</v>
          </cell>
          <cell r="BZ106">
            <v>0</v>
          </cell>
          <cell r="CA106" t="str">
            <v>nd</v>
          </cell>
          <cell r="CB106">
            <v>99.7</v>
          </cell>
          <cell r="CC106">
            <v>14.399999999999999</v>
          </cell>
          <cell r="CD106">
            <v>5.5</v>
          </cell>
          <cell r="CE106">
            <v>1.7000000000000002</v>
          </cell>
          <cell r="CF106" t="str">
            <v>nd</v>
          </cell>
          <cell r="CG106">
            <v>0</v>
          </cell>
          <cell r="CH106">
            <v>22.3</v>
          </cell>
          <cell r="CI106">
            <v>13.8</v>
          </cell>
          <cell r="CJ106">
            <v>60.3</v>
          </cell>
          <cell r="CK106">
            <v>14.299999999999999</v>
          </cell>
          <cell r="CL106" t="str">
            <v>nd</v>
          </cell>
          <cell r="CM106" t="str">
            <v>nd</v>
          </cell>
          <cell r="CN106" t="str">
            <v>nd</v>
          </cell>
          <cell r="CO106">
            <v>82.6</v>
          </cell>
          <cell r="CP106">
            <v>20.599999999999998</v>
          </cell>
          <cell r="CQ106">
            <v>23.5</v>
          </cell>
          <cell r="CR106">
            <v>12.7</v>
          </cell>
          <cell r="CS106">
            <v>43.1</v>
          </cell>
          <cell r="CT106">
            <v>23.9</v>
          </cell>
          <cell r="CU106">
            <v>76.099999999999994</v>
          </cell>
          <cell r="CV106">
            <v>14.799999999999999</v>
          </cell>
          <cell r="CW106">
            <v>85.2</v>
          </cell>
          <cell r="CX106">
            <v>10.100000000000001</v>
          </cell>
          <cell r="CY106">
            <v>18.7</v>
          </cell>
          <cell r="CZ106">
            <v>71.3</v>
          </cell>
          <cell r="DA106">
            <v>30.4</v>
          </cell>
          <cell r="DB106" t="str">
            <v>nd</v>
          </cell>
          <cell r="DC106">
            <v>0</v>
          </cell>
          <cell r="DD106">
            <v>0</v>
          </cell>
          <cell r="DE106">
            <v>69.599999999999994</v>
          </cell>
          <cell r="DF106">
            <v>28.199999999999996</v>
          </cell>
          <cell r="DG106">
            <v>11.799999999999999</v>
          </cell>
          <cell r="DH106">
            <v>24.9</v>
          </cell>
          <cell r="DI106">
            <v>8.4</v>
          </cell>
          <cell r="DJ106">
            <v>7.5</v>
          </cell>
          <cell r="DK106">
            <v>19.100000000000001</v>
          </cell>
          <cell r="DL106">
            <v>27.800000000000004</v>
          </cell>
          <cell r="DM106">
            <v>20.599999999999998</v>
          </cell>
          <cell r="DN106">
            <v>9.3000000000000007</v>
          </cell>
          <cell r="DO106">
            <v>24.3</v>
          </cell>
          <cell r="DP106">
            <v>3.8</v>
          </cell>
          <cell r="DQ106">
            <v>0</v>
          </cell>
          <cell r="DR106">
            <v>2.4</v>
          </cell>
          <cell r="DS106">
            <v>8</v>
          </cell>
          <cell r="DT106">
            <v>26.900000000000002</v>
          </cell>
          <cell r="DU106">
            <v>0.67590499999999998</v>
          </cell>
          <cell r="DV106" t="str">
            <v>nd</v>
          </cell>
          <cell r="DW106">
            <v>0</v>
          </cell>
          <cell r="DX106">
            <v>0</v>
          </cell>
          <cell r="DY106" t="str">
            <v>nd</v>
          </cell>
          <cell r="DZ106">
            <v>4.9965900000000003</v>
          </cell>
          <cell r="EA106">
            <v>3.95791</v>
          </cell>
          <cell r="EB106">
            <v>0</v>
          </cell>
          <cell r="EC106" t="str">
            <v>nd</v>
          </cell>
          <cell r="ED106">
            <v>0</v>
          </cell>
          <cell r="EE106">
            <v>0.87659999999999993</v>
          </cell>
          <cell r="EF106">
            <v>24.148272600000002</v>
          </cell>
          <cell r="EG106">
            <v>6.2774951999999997</v>
          </cell>
          <cell r="EH106">
            <v>1.8088799999999998</v>
          </cell>
          <cell r="EI106" t="str">
            <v>nd</v>
          </cell>
          <cell r="EJ106" t="str">
            <v>nd</v>
          </cell>
          <cell r="EK106" t="str">
            <v>nd</v>
          </cell>
          <cell r="EL106">
            <v>35.767964300000003</v>
          </cell>
          <cell r="EM106">
            <v>3.0943200000000002</v>
          </cell>
          <cell r="EN106">
            <v>0</v>
          </cell>
          <cell r="EO106" t="str">
            <v>nd</v>
          </cell>
          <cell r="EP106" t="str">
            <v>nd</v>
          </cell>
          <cell r="EQ106">
            <v>2.00726</v>
          </cell>
          <cell r="ER106">
            <v>9.3535518</v>
          </cell>
          <cell r="ES106">
            <v>0</v>
          </cell>
          <cell r="ET106">
            <v>0</v>
          </cell>
          <cell r="EU106">
            <v>0</v>
          </cell>
          <cell r="EV106">
            <v>0</v>
          </cell>
          <cell r="EW106" t="str">
            <v>nd</v>
          </cell>
          <cell r="EX106">
            <v>0</v>
          </cell>
          <cell r="EY106">
            <v>0</v>
          </cell>
          <cell r="EZ106">
            <v>0</v>
          </cell>
          <cell r="FA106" t="str">
            <v>nd</v>
          </cell>
          <cell r="FB106">
            <v>1.6702000000000001</v>
          </cell>
          <cell r="FC106">
            <v>1.6439999999999999</v>
          </cell>
          <cell r="FD106" t="str">
            <v>nd</v>
          </cell>
          <cell r="FE106">
            <v>0.76402300000000001</v>
          </cell>
          <cell r="FF106">
            <v>0.95409999999999995</v>
          </cell>
          <cell r="FG106">
            <v>2.8326000000000002</v>
          </cell>
          <cell r="FH106">
            <v>5.1531899999999995</v>
          </cell>
          <cell r="FI106" t="str">
            <v>nd</v>
          </cell>
          <cell r="FJ106" t="str">
            <v>nd</v>
          </cell>
          <cell r="FK106" t="str">
            <v>nd</v>
          </cell>
          <cell r="FL106">
            <v>2.39533</v>
          </cell>
          <cell r="FM106">
            <v>8.352500899999999</v>
          </cell>
          <cell r="FN106">
            <v>21.9330654</v>
          </cell>
          <cell r="FO106" t="str">
            <v>nd</v>
          </cell>
          <cell r="FP106">
            <v>1.0061900000000001</v>
          </cell>
          <cell r="FQ106" t="str">
            <v>nd</v>
          </cell>
          <cell r="FR106">
            <v>2.8553999999999999</v>
          </cell>
          <cell r="FS106">
            <v>2.7247299999999997</v>
          </cell>
          <cell r="FT106">
            <v>34.230715600000003</v>
          </cell>
          <cell r="FU106">
            <v>0</v>
          </cell>
          <cell r="FV106">
            <v>0</v>
          </cell>
          <cell r="FW106" t="str">
            <v>nd</v>
          </cell>
          <cell r="FX106">
            <v>0</v>
          </cell>
          <cell r="FY106" t="str">
            <v>nd</v>
          </cell>
          <cell r="FZ106">
            <v>9.0890135999999995</v>
          </cell>
          <cell r="GA106">
            <v>0.80376999999999998</v>
          </cell>
          <cell r="GB106" t="str">
            <v>nd</v>
          </cell>
          <cell r="GC106">
            <v>0</v>
          </cell>
          <cell r="GD106" t="str">
            <v>nd</v>
          </cell>
          <cell r="GE106">
            <v>0</v>
          </cell>
          <cell r="GF106">
            <v>0</v>
          </cell>
          <cell r="GG106" t="str">
            <v>nd</v>
          </cell>
          <cell r="GH106">
            <v>0</v>
          </cell>
          <cell r="GI106" t="str">
            <v>nd</v>
          </cell>
          <cell r="GJ106">
            <v>2.5100099999999999</v>
          </cell>
          <cell r="GK106">
            <v>5.1795800000000005</v>
          </cell>
          <cell r="GL106">
            <v>0</v>
          </cell>
          <cell r="GM106">
            <v>0</v>
          </cell>
          <cell r="GN106" t="str">
            <v>nd</v>
          </cell>
          <cell r="GO106">
            <v>4.24458</v>
          </cell>
          <cell r="GP106">
            <v>5.9322499999999998</v>
          </cell>
          <cell r="GQ106">
            <v>22.691094400000001</v>
          </cell>
          <cell r="GR106">
            <v>0</v>
          </cell>
          <cell r="GS106">
            <v>0</v>
          </cell>
          <cell r="GT106">
            <v>0</v>
          </cell>
          <cell r="GU106" t="str">
            <v>nd</v>
          </cell>
          <cell r="GV106">
            <v>6.7784565000000008</v>
          </cell>
          <cell r="GW106">
            <v>34.845550899999999</v>
          </cell>
          <cell r="GX106">
            <v>0</v>
          </cell>
          <cell r="GY106">
            <v>0</v>
          </cell>
          <cell r="GZ106">
            <v>0</v>
          </cell>
          <cell r="HA106" t="str">
            <v>nd</v>
          </cell>
          <cell r="HB106">
            <v>3.44062</v>
          </cell>
          <cell r="HC106">
            <v>6.10053</v>
          </cell>
          <cell r="HD106">
            <v>0</v>
          </cell>
          <cell r="HE106">
            <v>0</v>
          </cell>
          <cell r="HF106">
            <v>0</v>
          </cell>
          <cell r="HG106">
            <v>0</v>
          </cell>
          <cell r="HH106">
            <v>2.0627499999999999</v>
          </cell>
          <cell r="HI106">
            <v>0</v>
          </cell>
          <cell r="HJ106">
            <v>0</v>
          </cell>
          <cell r="HK106">
            <v>0</v>
          </cell>
          <cell r="HL106" t="str">
            <v>nd</v>
          </cell>
          <cell r="HM106">
            <v>2.3749899999999999</v>
          </cell>
          <cell r="HN106">
            <v>7.4601588999999997</v>
          </cell>
          <cell r="HO106">
            <v>0</v>
          </cell>
          <cell r="HP106">
            <v>0</v>
          </cell>
          <cell r="HQ106">
            <v>0</v>
          </cell>
          <cell r="HR106" t="str">
            <v>nd</v>
          </cell>
          <cell r="HS106">
            <v>17.7917062</v>
          </cell>
          <cell r="HT106">
            <v>16.9427466</v>
          </cell>
          <cell r="HU106">
            <v>0</v>
          </cell>
          <cell r="HV106">
            <v>0</v>
          </cell>
          <cell r="HW106" t="str">
            <v>nd</v>
          </cell>
          <cell r="HX106">
            <v>4.7133500000000002</v>
          </cell>
          <cell r="HY106">
            <v>8.8648920000000011</v>
          </cell>
          <cell r="HZ106">
            <v>26.675724800000001</v>
          </cell>
          <cell r="IA106">
            <v>0</v>
          </cell>
          <cell r="IB106">
            <v>0</v>
          </cell>
          <cell r="IC106">
            <v>0</v>
          </cell>
          <cell r="ID106" t="str">
            <v>nd</v>
          </cell>
          <cell r="IE106">
            <v>5.8930799999999994</v>
          </cell>
          <cell r="IF106">
            <v>4.5927999999999995</v>
          </cell>
          <cell r="IG106">
            <v>0</v>
          </cell>
          <cell r="IH106">
            <v>0</v>
          </cell>
          <cell r="II106">
            <v>0</v>
          </cell>
          <cell r="IJ106">
            <v>0</v>
          </cell>
          <cell r="IK106">
            <v>2.1621700000000001</v>
          </cell>
          <cell r="IL106">
            <v>0</v>
          </cell>
          <cell r="IM106" t="str">
            <v>nd</v>
          </cell>
          <cell r="IN106">
            <v>0</v>
          </cell>
          <cell r="IO106" t="str">
            <v>nd</v>
          </cell>
          <cell r="IP106" t="str">
            <v>nd</v>
          </cell>
          <cell r="IQ106">
            <v>8.2404504000000003</v>
          </cell>
          <cell r="IR106">
            <v>0</v>
          </cell>
          <cell r="IS106" t="str">
            <v>nd</v>
          </cell>
          <cell r="IT106">
            <v>0</v>
          </cell>
          <cell r="IU106">
            <v>3.04569</v>
          </cell>
          <cell r="IV106">
            <v>11.5211951</v>
          </cell>
          <cell r="IW106">
            <v>18.933325500000002</v>
          </cell>
          <cell r="IX106">
            <v>0</v>
          </cell>
          <cell r="IY106">
            <v>0</v>
          </cell>
          <cell r="IZ106">
            <v>0</v>
          </cell>
          <cell r="JA106">
            <v>2.9718200000000001</v>
          </cell>
          <cell r="JB106">
            <v>13.1086718</v>
          </cell>
          <cell r="JC106">
            <v>26.147122799999998</v>
          </cell>
          <cell r="JD106">
            <v>0</v>
          </cell>
          <cell r="JE106">
            <v>0</v>
          </cell>
          <cell r="JF106" t="str">
            <v>nd</v>
          </cell>
          <cell r="JG106">
            <v>2.3864399999999999</v>
          </cell>
          <cell r="JH106" t="str">
            <v>nd</v>
          </cell>
          <cell r="JI106">
            <v>5.0545499999999999</v>
          </cell>
          <cell r="JJ106">
            <v>0</v>
          </cell>
          <cell r="JK106">
            <v>0</v>
          </cell>
          <cell r="JL106">
            <v>0</v>
          </cell>
          <cell r="JM106">
            <v>0</v>
          </cell>
          <cell r="JN106">
            <v>2.1748400000000001</v>
          </cell>
          <cell r="JO106">
            <v>0</v>
          </cell>
          <cell r="JP106">
            <v>0</v>
          </cell>
          <cell r="JQ106">
            <v>0</v>
          </cell>
          <cell r="JR106">
            <v>0</v>
          </cell>
          <cell r="JS106">
            <v>0</v>
          </cell>
          <cell r="JT106">
            <v>11.0317525</v>
          </cell>
          <cell r="JU106">
            <v>0</v>
          </cell>
          <cell r="JV106">
            <v>0</v>
          </cell>
          <cell r="JW106">
            <v>0</v>
          </cell>
          <cell r="JX106">
            <v>0</v>
          </cell>
          <cell r="JY106" t="str">
            <v>nd</v>
          </cell>
          <cell r="JZ106">
            <v>34.267842399999999</v>
          </cell>
          <cell r="KA106">
            <v>0</v>
          </cell>
          <cell r="KB106">
            <v>0</v>
          </cell>
          <cell r="KC106">
            <v>0</v>
          </cell>
          <cell r="KD106">
            <v>0</v>
          </cell>
          <cell r="KE106">
            <v>0</v>
          </cell>
          <cell r="KF106">
            <v>41.441128999999997</v>
          </cell>
          <cell r="KG106">
            <v>0</v>
          </cell>
          <cell r="KH106">
            <v>0</v>
          </cell>
          <cell r="KI106">
            <v>0</v>
          </cell>
          <cell r="KJ106">
            <v>0</v>
          </cell>
          <cell r="KK106">
            <v>0</v>
          </cell>
          <cell r="KL106">
            <v>10.812983599999999</v>
          </cell>
          <cell r="KM106">
            <v>79.3</v>
          </cell>
          <cell r="KN106">
            <v>5.7</v>
          </cell>
          <cell r="KO106">
            <v>5.8999999999999995</v>
          </cell>
          <cell r="KP106">
            <v>3.6999999999999997</v>
          </cell>
          <cell r="KQ106">
            <v>5.4</v>
          </cell>
          <cell r="KR106">
            <v>0</v>
          </cell>
          <cell r="KS106">
            <v>77.8</v>
          </cell>
          <cell r="KT106">
            <v>5.8000000000000007</v>
          </cell>
          <cell r="KU106">
            <v>6.4</v>
          </cell>
          <cell r="KV106">
            <v>4.1000000000000005</v>
          </cell>
          <cell r="KW106">
            <v>5.8999999999999995</v>
          </cell>
          <cell r="KX106">
            <v>0</v>
          </cell>
          <cell r="KY106"/>
          <cell r="KZ106"/>
          <cell r="LA106"/>
          <cell r="LB106"/>
          <cell r="LC106"/>
          <cell r="LD106"/>
          <cell r="LE106"/>
          <cell r="LF106"/>
          <cell r="LG106"/>
          <cell r="LH106"/>
          <cell r="LI106"/>
          <cell r="LJ106"/>
          <cell r="LK106"/>
          <cell r="LL106"/>
          <cell r="LM106"/>
          <cell r="LN106"/>
          <cell r="LO106"/>
        </row>
        <row r="107">
          <cell r="A107" t="str">
            <v>2OQ</v>
          </cell>
          <cell r="B107" t="str">
            <v>107</v>
          </cell>
          <cell r="C107" t="str">
            <v>NAF 17</v>
          </cell>
          <cell r="D107" t="str">
            <v>OQ</v>
          </cell>
          <cell r="E107" t="str">
            <v>2</v>
          </cell>
          <cell r="F107">
            <v>0.89999999999999991</v>
          </cell>
          <cell r="G107">
            <v>9.6</v>
          </cell>
          <cell r="H107">
            <v>30.5</v>
          </cell>
          <cell r="I107">
            <v>46.9</v>
          </cell>
          <cell r="J107">
            <v>12.1</v>
          </cell>
          <cell r="K107">
            <v>51.300000000000004</v>
          </cell>
          <cell r="L107">
            <v>32.6</v>
          </cell>
          <cell r="M107" t="str">
            <v>nd</v>
          </cell>
          <cell r="N107">
            <v>15.8</v>
          </cell>
          <cell r="O107">
            <v>21.7</v>
          </cell>
          <cell r="P107">
            <v>41.199999999999996</v>
          </cell>
          <cell r="Q107">
            <v>10.5</v>
          </cell>
          <cell r="R107">
            <v>4.5</v>
          </cell>
          <cell r="S107">
            <v>24.6</v>
          </cell>
          <cell r="T107">
            <v>19.400000000000002</v>
          </cell>
          <cell r="U107">
            <v>5</v>
          </cell>
          <cell r="V107">
            <v>29.9</v>
          </cell>
          <cell r="W107">
            <v>9.5</v>
          </cell>
          <cell r="X107">
            <v>82.899999999999991</v>
          </cell>
          <cell r="Y107">
            <v>7.6</v>
          </cell>
          <cell r="Z107">
            <v>0</v>
          </cell>
          <cell r="AA107">
            <v>37.5</v>
          </cell>
          <cell r="AB107">
            <v>9.1</v>
          </cell>
          <cell r="AC107">
            <v>42</v>
          </cell>
          <cell r="AD107">
            <v>39.800000000000004</v>
          </cell>
          <cell r="AE107">
            <v>50.9</v>
          </cell>
          <cell r="AF107">
            <v>49.1</v>
          </cell>
          <cell r="AG107">
            <v>62.7</v>
          </cell>
          <cell r="AH107">
            <v>37.299999999999997</v>
          </cell>
          <cell r="AI107">
            <v>30.3</v>
          </cell>
          <cell r="AJ107">
            <v>13.700000000000001</v>
          </cell>
          <cell r="AK107">
            <v>2.8000000000000003</v>
          </cell>
          <cell r="AL107">
            <v>49.5</v>
          </cell>
          <cell r="AM107">
            <v>3.8</v>
          </cell>
          <cell r="AN107">
            <v>2.1999999999999997</v>
          </cell>
          <cell r="AO107">
            <v>1.2</v>
          </cell>
          <cell r="AP107">
            <v>4</v>
          </cell>
          <cell r="AQ107">
            <v>91.5</v>
          </cell>
          <cell r="AR107">
            <v>1.2</v>
          </cell>
          <cell r="AS107">
            <v>80</v>
          </cell>
          <cell r="AT107">
            <v>6.3</v>
          </cell>
          <cell r="AU107">
            <v>1.7000000000000002</v>
          </cell>
          <cell r="AV107">
            <v>2.1999999999999997</v>
          </cell>
          <cell r="AW107">
            <v>0.89999999999999991</v>
          </cell>
          <cell r="AX107">
            <v>8.7999999999999989</v>
          </cell>
          <cell r="AY107">
            <v>2.7</v>
          </cell>
          <cell r="AZ107">
            <v>1.6</v>
          </cell>
          <cell r="BA107">
            <v>1.5</v>
          </cell>
          <cell r="BB107">
            <v>3.9</v>
          </cell>
          <cell r="BC107">
            <v>21.8</v>
          </cell>
          <cell r="BD107">
            <v>68.7</v>
          </cell>
          <cell r="BE107" t="str">
            <v>nd</v>
          </cell>
          <cell r="BF107">
            <v>1.0999999999999999</v>
          </cell>
          <cell r="BG107">
            <v>1.0999999999999999</v>
          </cell>
          <cell r="BH107">
            <v>3.6999999999999997</v>
          </cell>
          <cell r="BI107">
            <v>30.7</v>
          </cell>
          <cell r="BJ107">
            <v>63.3</v>
          </cell>
          <cell r="BK107" t="str">
            <v>nd</v>
          </cell>
          <cell r="BL107" t="str">
            <v>nd</v>
          </cell>
          <cell r="BM107" t="str">
            <v>nd</v>
          </cell>
          <cell r="BN107">
            <v>10.299999999999999</v>
          </cell>
          <cell r="BO107">
            <v>60.099999999999994</v>
          </cell>
          <cell r="BP107">
            <v>29.099999999999998</v>
          </cell>
          <cell r="BQ107" t="str">
            <v>nd</v>
          </cell>
          <cell r="BR107" t="str">
            <v>nd</v>
          </cell>
          <cell r="BS107">
            <v>1.7000000000000002</v>
          </cell>
          <cell r="BT107">
            <v>6.9</v>
          </cell>
          <cell r="BU107">
            <v>54.400000000000006</v>
          </cell>
          <cell r="BV107">
            <v>36.199999999999996</v>
          </cell>
          <cell r="BW107">
            <v>0</v>
          </cell>
          <cell r="BX107">
            <v>0</v>
          </cell>
          <cell r="BY107">
            <v>0</v>
          </cell>
          <cell r="BZ107">
            <v>0</v>
          </cell>
          <cell r="CA107">
            <v>1.2</v>
          </cell>
          <cell r="CB107">
            <v>98.8</v>
          </cell>
          <cell r="CC107">
            <v>23.799999999999997</v>
          </cell>
          <cell r="CD107">
            <v>8.4</v>
          </cell>
          <cell r="CE107" t="str">
            <v>nd</v>
          </cell>
          <cell r="CF107">
            <v>2.5</v>
          </cell>
          <cell r="CG107" t="str">
            <v>nd</v>
          </cell>
          <cell r="CH107">
            <v>15.6</v>
          </cell>
          <cell r="CI107">
            <v>12.2</v>
          </cell>
          <cell r="CJ107">
            <v>57.4</v>
          </cell>
          <cell r="CK107">
            <v>20</v>
          </cell>
          <cell r="CL107">
            <v>3.5000000000000004</v>
          </cell>
          <cell r="CM107">
            <v>7.0000000000000009</v>
          </cell>
          <cell r="CN107">
            <v>5.3</v>
          </cell>
          <cell r="CO107">
            <v>75.400000000000006</v>
          </cell>
          <cell r="CP107">
            <v>23.5</v>
          </cell>
          <cell r="CQ107">
            <v>29.799999999999997</v>
          </cell>
          <cell r="CR107">
            <v>14.899999999999999</v>
          </cell>
          <cell r="CS107">
            <v>31.8</v>
          </cell>
          <cell r="CT107">
            <v>33.200000000000003</v>
          </cell>
          <cell r="CU107">
            <v>66.8</v>
          </cell>
          <cell r="CV107">
            <v>19</v>
          </cell>
          <cell r="CW107">
            <v>81</v>
          </cell>
          <cell r="CX107">
            <v>16.5</v>
          </cell>
          <cell r="CY107">
            <v>15.2</v>
          </cell>
          <cell r="CZ107">
            <v>68.2</v>
          </cell>
          <cell r="DA107">
            <v>16.7</v>
          </cell>
          <cell r="DB107" t="str">
            <v>nd</v>
          </cell>
          <cell r="DC107">
            <v>7.1</v>
          </cell>
          <cell r="DD107" t="str">
            <v>nd</v>
          </cell>
          <cell r="DE107">
            <v>78.2</v>
          </cell>
          <cell r="DF107">
            <v>19.900000000000002</v>
          </cell>
          <cell r="DG107">
            <v>12.5</v>
          </cell>
          <cell r="DH107">
            <v>29.599999999999998</v>
          </cell>
          <cell r="DI107">
            <v>12.2</v>
          </cell>
          <cell r="DJ107">
            <v>5.8999999999999995</v>
          </cell>
          <cell r="DK107">
            <v>19.900000000000002</v>
          </cell>
          <cell r="DL107">
            <v>20.100000000000001</v>
          </cell>
          <cell r="DM107">
            <v>18.8</v>
          </cell>
          <cell r="DN107">
            <v>19.900000000000002</v>
          </cell>
          <cell r="DO107">
            <v>36.9</v>
          </cell>
          <cell r="DP107">
            <v>7.7</v>
          </cell>
          <cell r="DQ107">
            <v>0.89999999999999991</v>
          </cell>
          <cell r="DR107">
            <v>3.4000000000000004</v>
          </cell>
          <cell r="DS107">
            <v>22.8</v>
          </cell>
          <cell r="DT107">
            <v>23.200000000000003</v>
          </cell>
          <cell r="DU107" t="str">
            <v>nd</v>
          </cell>
          <cell r="DV107">
            <v>0</v>
          </cell>
          <cell r="DW107">
            <v>0</v>
          </cell>
          <cell r="DX107" t="str">
            <v>nd</v>
          </cell>
          <cell r="DY107">
            <v>0.59015899999999999</v>
          </cell>
          <cell r="DZ107">
            <v>4.52738</v>
          </cell>
          <cell r="EA107">
            <v>2.2359400000000003</v>
          </cell>
          <cell r="EB107" t="str">
            <v>nd</v>
          </cell>
          <cell r="EC107">
            <v>1.2823800000000001</v>
          </cell>
          <cell r="ED107" t="str">
            <v>nd</v>
          </cell>
          <cell r="EE107">
            <v>0</v>
          </cell>
          <cell r="EF107">
            <v>24.395145899999999</v>
          </cell>
          <cell r="EG107">
            <v>1.5784900000000002</v>
          </cell>
          <cell r="EH107">
            <v>0.57166400000000006</v>
          </cell>
          <cell r="EI107">
            <v>0.48968800000000001</v>
          </cell>
          <cell r="EJ107" t="str">
            <v>nd</v>
          </cell>
          <cell r="EK107">
            <v>2.0632999999999999</v>
          </cell>
          <cell r="EL107">
            <v>42.559175599999996</v>
          </cell>
          <cell r="EM107">
            <v>1.8987899999999998</v>
          </cell>
          <cell r="EN107">
            <v>0.51760799999999996</v>
          </cell>
          <cell r="EO107" t="str">
            <v>nd</v>
          </cell>
          <cell r="EP107">
            <v>0</v>
          </cell>
          <cell r="EQ107">
            <v>3.2307099999999997</v>
          </cell>
          <cell r="ER107">
            <v>8.2050359000000004</v>
          </cell>
          <cell r="ES107" t="str">
            <v>nd</v>
          </cell>
          <cell r="ET107" t="str">
            <v>nd</v>
          </cell>
          <cell r="EU107" t="str">
            <v>nd</v>
          </cell>
          <cell r="EV107" t="str">
            <v>nd</v>
          </cell>
          <cell r="EW107">
            <v>2.96611</v>
          </cell>
          <cell r="EX107" t="str">
            <v>nd</v>
          </cell>
          <cell r="EY107">
            <v>0</v>
          </cell>
          <cell r="EZ107">
            <v>0</v>
          </cell>
          <cell r="FA107" t="str">
            <v>nd</v>
          </cell>
          <cell r="FB107">
            <v>0.40891499999999997</v>
          </cell>
          <cell r="FC107" t="str">
            <v>nd</v>
          </cell>
          <cell r="FD107" t="str">
            <v>nd</v>
          </cell>
          <cell r="FE107" t="str">
            <v>nd</v>
          </cell>
          <cell r="FF107">
            <v>1.1677599999999999</v>
          </cell>
          <cell r="FG107">
            <v>1.5666</v>
          </cell>
          <cell r="FH107">
            <v>5.6381500000000004</v>
          </cell>
          <cell r="FI107">
            <v>1.1496899999999999</v>
          </cell>
          <cell r="FJ107">
            <v>0.88880000000000003</v>
          </cell>
          <cell r="FK107">
            <v>0.676979</v>
          </cell>
          <cell r="FL107">
            <v>0.83285000000000009</v>
          </cell>
          <cell r="FM107">
            <v>8.0051244999999991</v>
          </cell>
          <cell r="FN107">
            <v>17.8447821</v>
          </cell>
          <cell r="FO107">
            <v>0.94950999999999997</v>
          </cell>
          <cell r="FP107" t="str">
            <v>nd</v>
          </cell>
          <cell r="FQ107">
            <v>0.58967500000000006</v>
          </cell>
          <cell r="FR107">
            <v>1.2232099999999999</v>
          </cell>
          <cell r="FS107">
            <v>9.658493</v>
          </cell>
          <cell r="FT107">
            <v>35.324131399999999</v>
          </cell>
          <cell r="FU107">
            <v>0</v>
          </cell>
          <cell r="FV107" t="str">
            <v>nd</v>
          </cell>
          <cell r="FW107">
            <v>0</v>
          </cell>
          <cell r="FX107" t="str">
            <v>nd</v>
          </cell>
          <cell r="FY107">
            <v>2.3864300000000003</v>
          </cell>
          <cell r="FZ107">
            <v>9.503802799999999</v>
          </cell>
          <cell r="GA107" t="str">
            <v>nd</v>
          </cell>
          <cell r="GB107" t="str">
            <v>nd</v>
          </cell>
          <cell r="GC107" t="str">
            <v>nd</v>
          </cell>
          <cell r="GD107" t="str">
            <v>nd</v>
          </cell>
          <cell r="GE107" t="str">
            <v>nd</v>
          </cell>
          <cell r="GF107">
            <v>0</v>
          </cell>
          <cell r="GG107" t="str">
            <v>nd</v>
          </cell>
          <cell r="GH107">
            <v>0.89863999999999999</v>
          </cell>
          <cell r="GI107" t="str">
            <v>nd</v>
          </cell>
          <cell r="GJ107">
            <v>2.5766899999999997</v>
          </cell>
          <cell r="GK107">
            <v>4.33507</v>
          </cell>
          <cell r="GL107">
            <v>0</v>
          </cell>
          <cell r="GM107" t="str">
            <v>nd</v>
          </cell>
          <cell r="GN107">
            <v>0</v>
          </cell>
          <cell r="GO107">
            <v>1.3870499999999999</v>
          </cell>
          <cell r="GP107">
            <v>13.830963199999999</v>
          </cell>
          <cell r="GQ107">
            <v>14.058534399999999</v>
          </cell>
          <cell r="GR107">
            <v>0</v>
          </cell>
          <cell r="GS107" t="str">
            <v>nd</v>
          </cell>
          <cell r="GT107">
            <v>0</v>
          </cell>
          <cell r="GU107">
            <v>1.13215</v>
          </cell>
          <cell r="GV107">
            <v>9.8298471000000003</v>
          </cell>
          <cell r="GW107">
            <v>37.071556799999996</v>
          </cell>
          <cell r="GX107">
            <v>0</v>
          </cell>
          <cell r="GY107" t="str">
            <v>nd</v>
          </cell>
          <cell r="GZ107">
            <v>0</v>
          </cell>
          <cell r="HA107" t="str">
            <v>nd</v>
          </cell>
          <cell r="HB107">
            <v>4.2484700000000002</v>
          </cell>
          <cell r="HC107">
            <v>7.7297554000000002</v>
          </cell>
          <cell r="HD107">
            <v>0</v>
          </cell>
          <cell r="HE107" t="str">
            <v>nd</v>
          </cell>
          <cell r="HF107">
            <v>0</v>
          </cell>
          <cell r="HG107">
            <v>0</v>
          </cell>
          <cell r="HH107">
            <v>0.57496599999999998</v>
          </cell>
          <cell r="HI107">
            <v>0</v>
          </cell>
          <cell r="HJ107">
            <v>0</v>
          </cell>
          <cell r="HK107">
            <v>0</v>
          </cell>
          <cell r="HL107" t="str">
            <v>nd</v>
          </cell>
          <cell r="HM107">
            <v>5.3396499999999998</v>
          </cell>
          <cell r="HN107">
            <v>3.3738700000000001</v>
          </cell>
          <cell r="HO107">
            <v>0</v>
          </cell>
          <cell r="HP107">
            <v>0</v>
          </cell>
          <cell r="HQ107" t="str">
            <v>nd</v>
          </cell>
          <cell r="HR107">
            <v>2.95675</v>
          </cell>
          <cell r="HS107">
            <v>18.393347299999999</v>
          </cell>
          <cell r="HT107">
            <v>8.0076908000000007</v>
          </cell>
          <cell r="HU107" t="str">
            <v>nd</v>
          </cell>
          <cell r="HV107">
            <v>0</v>
          </cell>
          <cell r="HW107">
            <v>0</v>
          </cell>
          <cell r="HX107">
            <v>5.2522600000000006</v>
          </cell>
          <cell r="HY107">
            <v>28.343772600000001</v>
          </cell>
          <cell r="HZ107">
            <v>14.487360799999999</v>
          </cell>
          <cell r="IA107">
            <v>0</v>
          </cell>
          <cell r="IB107" t="str">
            <v>nd</v>
          </cell>
          <cell r="IC107">
            <v>0</v>
          </cell>
          <cell r="ID107">
            <v>1.7921200000000002</v>
          </cell>
          <cell r="IE107">
            <v>7.6745586000000001</v>
          </cell>
          <cell r="IF107">
            <v>2.6223799999999997</v>
          </cell>
          <cell r="IG107">
            <v>0</v>
          </cell>
          <cell r="IH107">
            <v>0</v>
          </cell>
          <cell r="II107">
            <v>0</v>
          </cell>
          <cell r="IJ107">
            <v>0</v>
          </cell>
          <cell r="IK107">
            <v>0.56938199999999994</v>
          </cell>
          <cell r="IL107">
            <v>0</v>
          </cell>
          <cell r="IM107">
            <v>0</v>
          </cell>
          <cell r="IN107">
            <v>0</v>
          </cell>
          <cell r="IO107" t="str">
            <v>nd</v>
          </cell>
          <cell r="IP107">
            <v>3.5158200000000002</v>
          </cell>
          <cell r="IQ107">
            <v>5.0165199999999999</v>
          </cell>
          <cell r="IR107">
            <v>0</v>
          </cell>
          <cell r="IS107" t="str">
            <v>nd</v>
          </cell>
          <cell r="IT107">
            <v>0</v>
          </cell>
          <cell r="IU107">
            <v>1.9077500000000001</v>
          </cell>
          <cell r="IV107">
            <v>17.558911699999999</v>
          </cell>
          <cell r="IW107">
            <v>11.2844795</v>
          </cell>
          <cell r="IX107" t="str">
            <v>nd</v>
          </cell>
          <cell r="IY107">
            <v>0</v>
          </cell>
          <cell r="IZ107">
            <v>0.82238</v>
          </cell>
          <cell r="JA107">
            <v>3.76803</v>
          </cell>
          <cell r="JB107">
            <v>25.8202547</v>
          </cell>
          <cell r="JC107">
            <v>17.242757000000001</v>
          </cell>
          <cell r="JD107">
            <v>0</v>
          </cell>
          <cell r="JE107" t="str">
            <v>nd</v>
          </cell>
          <cell r="JF107" t="str">
            <v>nd</v>
          </cell>
          <cell r="JG107">
            <v>1.07446</v>
          </cell>
          <cell r="JH107">
            <v>7.5997541000000002</v>
          </cell>
          <cell r="JI107">
            <v>2.2610700000000001</v>
          </cell>
          <cell r="JJ107">
            <v>0</v>
          </cell>
          <cell r="JK107">
            <v>0</v>
          </cell>
          <cell r="JL107">
            <v>0</v>
          </cell>
          <cell r="JM107">
            <v>0</v>
          </cell>
          <cell r="JN107">
            <v>0.76402899999999996</v>
          </cell>
          <cell r="JO107">
            <v>0</v>
          </cell>
          <cell r="JP107">
            <v>0</v>
          </cell>
          <cell r="JQ107">
            <v>0</v>
          </cell>
          <cell r="JR107">
            <v>0</v>
          </cell>
          <cell r="JS107">
            <v>0</v>
          </cell>
          <cell r="JT107">
            <v>8.8154339999999998</v>
          </cell>
          <cell r="JU107">
            <v>0</v>
          </cell>
          <cell r="JV107">
            <v>0</v>
          </cell>
          <cell r="JW107">
            <v>0</v>
          </cell>
          <cell r="JX107">
            <v>0</v>
          </cell>
          <cell r="JY107">
            <v>0.61509000000000003</v>
          </cell>
          <cell r="JZ107">
            <v>29.941355899999998</v>
          </cell>
          <cell r="KA107">
            <v>0</v>
          </cell>
          <cell r="KB107">
            <v>0</v>
          </cell>
          <cell r="KC107">
            <v>0</v>
          </cell>
          <cell r="KD107">
            <v>0</v>
          </cell>
          <cell r="KE107" t="str">
            <v>nd</v>
          </cell>
          <cell r="KF107">
            <v>47.480201900000004</v>
          </cell>
          <cell r="KG107">
            <v>0</v>
          </cell>
          <cell r="KH107">
            <v>0</v>
          </cell>
          <cell r="KI107">
            <v>0</v>
          </cell>
          <cell r="KJ107">
            <v>0</v>
          </cell>
          <cell r="KK107" t="str">
            <v>nd</v>
          </cell>
          <cell r="KL107">
            <v>11.830277600000001</v>
          </cell>
          <cell r="KM107">
            <v>74.099999999999994</v>
          </cell>
          <cell r="KN107">
            <v>5.7</v>
          </cell>
          <cell r="KO107">
            <v>4.7</v>
          </cell>
          <cell r="KP107">
            <v>6.6000000000000005</v>
          </cell>
          <cell r="KQ107">
            <v>8.7999999999999989</v>
          </cell>
          <cell r="KR107">
            <v>0.1</v>
          </cell>
          <cell r="KS107">
            <v>73.099999999999994</v>
          </cell>
          <cell r="KT107">
            <v>5.8000000000000007</v>
          </cell>
          <cell r="KU107">
            <v>4.8</v>
          </cell>
          <cell r="KV107">
            <v>7.1999999999999993</v>
          </cell>
          <cell r="KW107">
            <v>9.1</v>
          </cell>
          <cell r="KX107">
            <v>0.1</v>
          </cell>
          <cell r="KY107"/>
          <cell r="KZ107"/>
          <cell r="LA107"/>
          <cell r="LB107"/>
          <cell r="LC107"/>
          <cell r="LD107"/>
          <cell r="LE107"/>
          <cell r="LF107"/>
          <cell r="LG107"/>
          <cell r="LH107"/>
          <cell r="LI107"/>
          <cell r="LJ107"/>
          <cell r="LK107"/>
          <cell r="LL107"/>
          <cell r="LM107"/>
          <cell r="LN107"/>
          <cell r="LO107"/>
        </row>
        <row r="108">
          <cell r="A108" t="str">
            <v>3OQ</v>
          </cell>
          <cell r="B108" t="str">
            <v>108</v>
          </cell>
          <cell r="C108" t="str">
            <v>NAF 17</v>
          </cell>
          <cell r="D108" t="str">
            <v>OQ</v>
          </cell>
          <cell r="E108" t="str">
            <v>3</v>
          </cell>
          <cell r="F108" t="str">
            <v>nd</v>
          </cell>
          <cell r="G108">
            <v>7.5</v>
          </cell>
          <cell r="H108">
            <v>29.4</v>
          </cell>
          <cell r="I108">
            <v>53.2</v>
          </cell>
          <cell r="J108">
            <v>9.8000000000000007</v>
          </cell>
          <cell r="K108">
            <v>56.100000000000009</v>
          </cell>
          <cell r="L108">
            <v>29.599999999999998</v>
          </cell>
          <cell r="M108" t="str">
            <v>nd</v>
          </cell>
          <cell r="N108">
            <v>12</v>
          </cell>
          <cell r="O108">
            <v>21.8</v>
          </cell>
          <cell r="P108">
            <v>46</v>
          </cell>
          <cell r="Q108">
            <v>11.799999999999999</v>
          </cell>
          <cell r="R108">
            <v>4.5999999999999996</v>
          </cell>
          <cell r="S108">
            <v>25.2</v>
          </cell>
          <cell r="T108">
            <v>18.099999999999998</v>
          </cell>
          <cell r="U108">
            <v>5.8000000000000007</v>
          </cell>
          <cell r="V108">
            <v>21.2</v>
          </cell>
          <cell r="W108">
            <v>8.1</v>
          </cell>
          <cell r="X108">
            <v>83.3</v>
          </cell>
          <cell r="Y108">
            <v>8.6</v>
          </cell>
          <cell r="Z108" t="str">
            <v>nd</v>
          </cell>
          <cell r="AA108">
            <v>63.3</v>
          </cell>
          <cell r="AB108" t="str">
            <v>nd</v>
          </cell>
          <cell r="AC108">
            <v>39.200000000000003</v>
          </cell>
          <cell r="AD108">
            <v>25.3</v>
          </cell>
          <cell r="AE108">
            <v>42.5</v>
          </cell>
          <cell r="AF108">
            <v>57.499999999999993</v>
          </cell>
          <cell r="AG108">
            <v>73.400000000000006</v>
          </cell>
          <cell r="AH108">
            <v>26.6</v>
          </cell>
          <cell r="AI108">
            <v>27</v>
          </cell>
          <cell r="AJ108">
            <v>12.1</v>
          </cell>
          <cell r="AK108">
            <v>2.1</v>
          </cell>
          <cell r="AL108">
            <v>52.6</v>
          </cell>
          <cell r="AM108">
            <v>6.2</v>
          </cell>
          <cell r="AN108">
            <v>2.4</v>
          </cell>
          <cell r="AO108">
            <v>1.7000000000000002</v>
          </cell>
          <cell r="AP108" t="str">
            <v>nd</v>
          </cell>
          <cell r="AQ108">
            <v>92.5</v>
          </cell>
          <cell r="AR108">
            <v>2.8000000000000003</v>
          </cell>
          <cell r="AS108">
            <v>82.399999999999991</v>
          </cell>
          <cell r="AT108">
            <v>8</v>
          </cell>
          <cell r="AU108">
            <v>2.1</v>
          </cell>
          <cell r="AV108">
            <v>1.4000000000000001</v>
          </cell>
          <cell r="AW108">
            <v>1.5</v>
          </cell>
          <cell r="AX108">
            <v>4.5999999999999996</v>
          </cell>
          <cell r="AY108">
            <v>2.5</v>
          </cell>
          <cell r="AZ108">
            <v>2.4</v>
          </cell>
          <cell r="BA108">
            <v>0.4</v>
          </cell>
          <cell r="BB108">
            <v>3.8</v>
          </cell>
          <cell r="BC108">
            <v>23.3</v>
          </cell>
          <cell r="BD108">
            <v>67.7</v>
          </cell>
          <cell r="BE108" t="str">
            <v>nd</v>
          </cell>
          <cell r="BF108" t="str">
            <v>nd</v>
          </cell>
          <cell r="BG108">
            <v>0.89999999999999991</v>
          </cell>
          <cell r="BH108">
            <v>4.1000000000000005</v>
          </cell>
          <cell r="BI108">
            <v>28.199999999999996</v>
          </cell>
          <cell r="BJ108">
            <v>66.400000000000006</v>
          </cell>
          <cell r="BK108">
            <v>0</v>
          </cell>
          <cell r="BL108">
            <v>0</v>
          </cell>
          <cell r="BM108">
            <v>0.8</v>
          </cell>
          <cell r="BN108">
            <v>17.299999999999997</v>
          </cell>
          <cell r="BO108">
            <v>63.800000000000004</v>
          </cell>
          <cell r="BP108">
            <v>18.099999999999998</v>
          </cell>
          <cell r="BQ108">
            <v>0</v>
          </cell>
          <cell r="BR108">
            <v>0</v>
          </cell>
          <cell r="BS108">
            <v>1.2</v>
          </cell>
          <cell r="BT108">
            <v>12.2</v>
          </cell>
          <cell r="BU108">
            <v>58.099999999999994</v>
          </cell>
          <cell r="BV108">
            <v>28.499999999999996</v>
          </cell>
          <cell r="BW108">
            <v>0</v>
          </cell>
          <cell r="BX108">
            <v>0</v>
          </cell>
          <cell r="BY108">
            <v>0</v>
          </cell>
          <cell r="BZ108">
            <v>0</v>
          </cell>
          <cell r="CA108">
            <v>1.0999999999999999</v>
          </cell>
          <cell r="CB108">
            <v>98.9</v>
          </cell>
          <cell r="CC108">
            <v>22.400000000000002</v>
          </cell>
          <cell r="CD108">
            <v>5.2</v>
          </cell>
          <cell r="CE108">
            <v>1.5</v>
          </cell>
          <cell r="CF108">
            <v>2.8000000000000003</v>
          </cell>
          <cell r="CG108" t="str">
            <v>nd</v>
          </cell>
          <cell r="CH108">
            <v>12.9</v>
          </cell>
          <cell r="CI108">
            <v>10.299999999999999</v>
          </cell>
          <cell r="CJ108">
            <v>64.3</v>
          </cell>
          <cell r="CK108">
            <v>20.8</v>
          </cell>
          <cell r="CL108">
            <v>1.6</v>
          </cell>
          <cell r="CM108">
            <v>7.9</v>
          </cell>
          <cell r="CN108">
            <v>5.7</v>
          </cell>
          <cell r="CO108">
            <v>75.599999999999994</v>
          </cell>
          <cell r="CP108">
            <v>23.400000000000002</v>
          </cell>
          <cell r="CQ108">
            <v>31.3</v>
          </cell>
          <cell r="CR108">
            <v>15.5</v>
          </cell>
          <cell r="CS108">
            <v>29.799999999999997</v>
          </cell>
          <cell r="CT108">
            <v>34.799999999999997</v>
          </cell>
          <cell r="CU108">
            <v>65.2</v>
          </cell>
          <cell r="CV108">
            <v>24</v>
          </cell>
          <cell r="CW108">
            <v>76</v>
          </cell>
          <cell r="CX108">
            <v>18.2</v>
          </cell>
          <cell r="CY108">
            <v>11.600000000000001</v>
          </cell>
          <cell r="CZ108">
            <v>70.199999999999989</v>
          </cell>
          <cell r="DA108">
            <v>15.2</v>
          </cell>
          <cell r="DB108">
            <v>0</v>
          </cell>
          <cell r="DC108">
            <v>9.9</v>
          </cell>
          <cell r="DD108" t="str">
            <v>nd</v>
          </cell>
          <cell r="DE108">
            <v>71.899999999999991</v>
          </cell>
          <cell r="DF108">
            <v>23.400000000000002</v>
          </cell>
          <cell r="DG108">
            <v>12.9</v>
          </cell>
          <cell r="DH108">
            <v>27.3</v>
          </cell>
          <cell r="DI108">
            <v>10.4</v>
          </cell>
          <cell r="DJ108">
            <v>8.7999999999999989</v>
          </cell>
          <cell r="DK108">
            <v>17.100000000000001</v>
          </cell>
          <cell r="DL108">
            <v>20.200000000000003</v>
          </cell>
          <cell r="DM108">
            <v>19</v>
          </cell>
          <cell r="DN108">
            <v>23.1</v>
          </cell>
          <cell r="DO108">
            <v>39.800000000000004</v>
          </cell>
          <cell r="DP108">
            <v>5.3</v>
          </cell>
          <cell r="DQ108">
            <v>1.7999999999999998</v>
          </cell>
          <cell r="DR108">
            <v>5.4</v>
          </cell>
          <cell r="DS108">
            <v>16.100000000000001</v>
          </cell>
          <cell r="DT108">
            <v>20.100000000000001</v>
          </cell>
          <cell r="DU108" t="str">
            <v>nd</v>
          </cell>
          <cell r="DV108">
            <v>0</v>
          </cell>
          <cell r="DW108">
            <v>0</v>
          </cell>
          <cell r="DX108">
            <v>0</v>
          </cell>
          <cell r="DY108" t="str">
            <v>nd</v>
          </cell>
          <cell r="DZ108">
            <v>4.8861300000000005</v>
          </cell>
          <cell r="EA108" t="str">
            <v>nd</v>
          </cell>
          <cell r="EB108">
            <v>1.18685</v>
          </cell>
          <cell r="EC108">
            <v>0.49143499999999996</v>
          </cell>
          <cell r="ED108" t="str">
            <v>nd</v>
          </cell>
          <cell r="EE108" t="str">
            <v>nd</v>
          </cell>
          <cell r="EF108">
            <v>23.128696100000003</v>
          </cell>
          <cell r="EG108">
            <v>4.5694800000000004</v>
          </cell>
          <cell r="EH108">
            <v>0.57165500000000002</v>
          </cell>
          <cell r="EI108" t="str">
            <v>nd</v>
          </cell>
          <cell r="EJ108" t="str">
            <v>nd</v>
          </cell>
          <cell r="EK108">
            <v>0.90173000000000003</v>
          </cell>
          <cell r="EL108">
            <v>45.154208499999996</v>
          </cell>
          <cell r="EM108">
            <v>2.8515999999999999</v>
          </cell>
          <cell r="EN108">
            <v>0.38500200000000001</v>
          </cell>
          <cell r="EO108">
            <v>0.53859699999999999</v>
          </cell>
          <cell r="EP108">
            <v>0.55079699999999998</v>
          </cell>
          <cell r="EQ108">
            <v>3.3015400000000001</v>
          </cell>
          <cell r="ER108">
            <v>8.9711660999999996</v>
          </cell>
          <cell r="ES108" t="str">
            <v>nd</v>
          </cell>
          <cell r="ET108">
            <v>0</v>
          </cell>
          <cell r="EU108" t="str">
            <v>nd</v>
          </cell>
          <cell r="EV108" t="str">
            <v>nd</v>
          </cell>
          <cell r="EW108" t="str">
            <v>nd</v>
          </cell>
          <cell r="EX108">
            <v>0</v>
          </cell>
          <cell r="EY108">
            <v>0</v>
          </cell>
          <cell r="EZ108">
            <v>0</v>
          </cell>
          <cell r="FA108">
            <v>0</v>
          </cell>
          <cell r="FB108" t="str">
            <v>nd</v>
          </cell>
          <cell r="FC108">
            <v>0.79007999999999989</v>
          </cell>
          <cell r="FD108">
            <v>0.37145899999999998</v>
          </cell>
          <cell r="FE108" t="str">
            <v>nd</v>
          </cell>
          <cell r="FF108" t="str">
            <v>nd</v>
          </cell>
          <cell r="FG108">
            <v>2.51755</v>
          </cell>
          <cell r="FH108">
            <v>3.4701700000000004</v>
          </cell>
          <cell r="FI108" t="str">
            <v>nd</v>
          </cell>
          <cell r="FJ108">
            <v>0.63398200000000005</v>
          </cell>
          <cell r="FK108" t="str">
            <v>nd</v>
          </cell>
          <cell r="FL108">
            <v>1.6330899999999999</v>
          </cell>
          <cell r="FM108">
            <v>8.1777371999999993</v>
          </cell>
          <cell r="FN108">
            <v>19.033034799999999</v>
          </cell>
          <cell r="FO108">
            <v>1.3252699999999999</v>
          </cell>
          <cell r="FP108">
            <v>1.0396300000000001</v>
          </cell>
          <cell r="FQ108" t="str">
            <v>nd</v>
          </cell>
          <cell r="FR108">
            <v>1.8691499999999999</v>
          </cell>
          <cell r="FS108">
            <v>9.4118347</v>
          </cell>
          <cell r="FT108">
            <v>40.222932</v>
          </cell>
          <cell r="FU108">
            <v>0</v>
          </cell>
          <cell r="FV108" t="str">
            <v>nd</v>
          </cell>
          <cell r="FW108">
            <v>0</v>
          </cell>
          <cell r="FX108">
            <v>0</v>
          </cell>
          <cell r="FY108">
            <v>3.2999300000000003</v>
          </cell>
          <cell r="FZ108">
            <v>4.8061499999999997</v>
          </cell>
          <cell r="GA108" t="str">
            <v>nd</v>
          </cell>
          <cell r="GB108">
            <v>0</v>
          </cell>
          <cell r="GC108">
            <v>0</v>
          </cell>
          <cell r="GD108">
            <v>0</v>
          </cell>
          <cell r="GE108">
            <v>0</v>
          </cell>
          <cell r="GF108">
            <v>0</v>
          </cell>
          <cell r="GG108" t="str">
            <v>nd</v>
          </cell>
          <cell r="GH108" t="str">
            <v>nd</v>
          </cell>
          <cell r="GI108">
            <v>1.4808600000000001</v>
          </cell>
          <cell r="GJ108">
            <v>2.8002199999999999</v>
          </cell>
          <cell r="GK108">
            <v>2.8838599999999999</v>
          </cell>
          <cell r="GL108">
            <v>0</v>
          </cell>
          <cell r="GM108">
            <v>0</v>
          </cell>
          <cell r="GN108">
            <v>0.74343400000000004</v>
          </cell>
          <cell r="GO108">
            <v>2.1533199999999999</v>
          </cell>
          <cell r="GP108">
            <v>10.8343028</v>
          </cell>
          <cell r="GQ108">
            <v>16.1944187</v>
          </cell>
          <cell r="GR108">
            <v>0</v>
          </cell>
          <cell r="GS108">
            <v>0</v>
          </cell>
          <cell r="GT108">
            <v>0</v>
          </cell>
          <cell r="GU108">
            <v>0.52532200000000007</v>
          </cell>
          <cell r="GV108">
            <v>11.392322500000001</v>
          </cell>
          <cell r="GW108">
            <v>41.209215399999998</v>
          </cell>
          <cell r="GX108" t="str">
            <v>nd</v>
          </cell>
          <cell r="GY108">
            <v>0</v>
          </cell>
          <cell r="GZ108">
            <v>0</v>
          </cell>
          <cell r="HA108">
            <v>0</v>
          </cell>
          <cell r="HB108">
            <v>3.25122</v>
          </cell>
          <cell r="HC108">
            <v>6.0148000000000001</v>
          </cell>
          <cell r="HD108">
            <v>0</v>
          </cell>
          <cell r="HE108" t="str">
            <v>nd</v>
          </cell>
          <cell r="HF108">
            <v>0</v>
          </cell>
          <cell r="HG108">
            <v>0</v>
          </cell>
          <cell r="HH108">
            <v>0</v>
          </cell>
          <cell r="HI108">
            <v>0</v>
          </cell>
          <cell r="HJ108">
            <v>0</v>
          </cell>
          <cell r="HK108">
            <v>0</v>
          </cell>
          <cell r="HL108">
            <v>0.91214999999999991</v>
          </cell>
          <cell r="HM108">
            <v>4.4271799999999999</v>
          </cell>
          <cell r="HN108">
            <v>2.25956</v>
          </cell>
          <cell r="HO108">
            <v>0</v>
          </cell>
          <cell r="HP108">
            <v>0</v>
          </cell>
          <cell r="HQ108" t="str">
            <v>nd</v>
          </cell>
          <cell r="HR108">
            <v>7.6121021999999998</v>
          </cell>
          <cell r="HS108">
            <v>17.002148599999998</v>
          </cell>
          <cell r="HT108">
            <v>4.9177800000000005</v>
          </cell>
          <cell r="HU108">
            <v>0</v>
          </cell>
          <cell r="HV108">
            <v>0</v>
          </cell>
          <cell r="HW108" t="str">
            <v>nd</v>
          </cell>
          <cell r="HX108">
            <v>6.461773899999999</v>
          </cell>
          <cell r="HY108">
            <v>36.605153800000004</v>
          </cell>
          <cell r="HZ108">
            <v>9.9044289999999986</v>
          </cell>
          <cell r="IA108">
            <v>0</v>
          </cell>
          <cell r="IB108">
            <v>0</v>
          </cell>
          <cell r="IC108">
            <v>0</v>
          </cell>
          <cell r="ID108">
            <v>2.3813500000000003</v>
          </cell>
          <cell r="IE108">
            <v>5.39276</v>
          </cell>
          <cell r="IF108">
            <v>1.16567</v>
          </cell>
          <cell r="IG108">
            <v>0</v>
          </cell>
          <cell r="IH108">
            <v>0</v>
          </cell>
          <cell r="II108">
            <v>0</v>
          </cell>
          <cell r="IJ108">
            <v>0</v>
          </cell>
          <cell r="IK108" t="str">
            <v>nd</v>
          </cell>
          <cell r="IL108">
            <v>0</v>
          </cell>
          <cell r="IM108">
            <v>0</v>
          </cell>
          <cell r="IN108" t="str">
            <v>nd</v>
          </cell>
          <cell r="IO108">
            <v>1.0442899999999999</v>
          </cell>
          <cell r="IP108">
            <v>2.0602900000000002</v>
          </cell>
          <cell r="IQ108">
            <v>3.7890100000000002</v>
          </cell>
          <cell r="IR108">
            <v>0</v>
          </cell>
          <cell r="IS108">
            <v>0</v>
          </cell>
          <cell r="IT108" t="str">
            <v>nd</v>
          </cell>
          <cell r="IU108">
            <v>2.8991599999999997</v>
          </cell>
          <cell r="IV108">
            <v>16.464151599999997</v>
          </cell>
          <cell r="IW108">
            <v>9.7530453000000001</v>
          </cell>
          <cell r="IX108">
            <v>0</v>
          </cell>
          <cell r="IY108">
            <v>0</v>
          </cell>
          <cell r="IZ108" t="str">
            <v>nd</v>
          </cell>
          <cell r="JA108">
            <v>6.4029256000000005</v>
          </cell>
          <cell r="JB108">
            <v>33.547680200000002</v>
          </cell>
          <cell r="JC108">
            <v>13.5288872</v>
          </cell>
          <cell r="JD108">
            <v>0</v>
          </cell>
          <cell r="JE108">
            <v>0</v>
          </cell>
          <cell r="JF108">
            <v>0</v>
          </cell>
          <cell r="JG108">
            <v>1.7400700000000002</v>
          </cell>
          <cell r="JH108">
            <v>5.9837400000000001</v>
          </cell>
          <cell r="JI108">
            <v>1.5443500000000001</v>
          </cell>
          <cell r="JJ108">
            <v>0</v>
          </cell>
          <cell r="JK108">
            <v>0</v>
          </cell>
          <cell r="JL108">
            <v>0</v>
          </cell>
          <cell r="JM108">
            <v>0</v>
          </cell>
          <cell r="JN108" t="str">
            <v>nd</v>
          </cell>
          <cell r="JO108">
            <v>0</v>
          </cell>
          <cell r="JP108">
            <v>0</v>
          </cell>
          <cell r="JQ108">
            <v>0</v>
          </cell>
          <cell r="JR108">
            <v>0</v>
          </cell>
          <cell r="JS108">
            <v>0</v>
          </cell>
          <cell r="JT108">
            <v>7.4402208999999999</v>
          </cell>
          <cell r="JU108">
            <v>0</v>
          </cell>
          <cell r="JV108">
            <v>0</v>
          </cell>
          <cell r="JW108">
            <v>0</v>
          </cell>
          <cell r="JX108">
            <v>0</v>
          </cell>
          <cell r="JY108">
            <v>0.712399</v>
          </cell>
          <cell r="JZ108">
            <v>29.053584399999998</v>
          </cell>
          <cell r="KA108">
            <v>0</v>
          </cell>
          <cell r="KB108">
            <v>0</v>
          </cell>
          <cell r="KC108">
            <v>0</v>
          </cell>
          <cell r="KD108">
            <v>0</v>
          </cell>
          <cell r="KE108" t="str">
            <v>nd</v>
          </cell>
          <cell r="KF108">
            <v>53.496148600000005</v>
          </cell>
          <cell r="KG108">
            <v>0</v>
          </cell>
          <cell r="KH108">
            <v>0</v>
          </cell>
          <cell r="KI108">
            <v>0</v>
          </cell>
          <cell r="KJ108">
            <v>0</v>
          </cell>
          <cell r="KK108">
            <v>0</v>
          </cell>
          <cell r="KL108">
            <v>8.8775344</v>
          </cell>
          <cell r="KM108">
            <v>77.5</v>
          </cell>
          <cell r="KN108">
            <v>5.6000000000000005</v>
          </cell>
          <cell r="KO108">
            <v>2.9000000000000004</v>
          </cell>
          <cell r="KP108">
            <v>7.3999999999999995</v>
          </cell>
          <cell r="KQ108">
            <v>6.6000000000000005</v>
          </cell>
          <cell r="KR108">
            <v>0</v>
          </cell>
          <cell r="KS108">
            <v>75.8</v>
          </cell>
          <cell r="KT108">
            <v>5.7</v>
          </cell>
          <cell r="KU108">
            <v>3</v>
          </cell>
          <cell r="KV108">
            <v>8.3000000000000007</v>
          </cell>
          <cell r="KW108">
            <v>7.1</v>
          </cell>
          <cell r="KX108">
            <v>0</v>
          </cell>
          <cell r="KY108"/>
          <cell r="KZ108"/>
          <cell r="LA108"/>
          <cell r="LB108"/>
          <cell r="LC108"/>
          <cell r="LD108"/>
          <cell r="LE108"/>
          <cell r="LF108"/>
          <cell r="LG108"/>
          <cell r="LH108"/>
          <cell r="LI108"/>
          <cell r="LJ108"/>
          <cell r="LK108"/>
          <cell r="LL108"/>
          <cell r="LM108"/>
          <cell r="LN108"/>
          <cell r="LO108"/>
        </row>
        <row r="109">
          <cell r="A109" t="str">
            <v>4OQ</v>
          </cell>
          <cell r="B109" t="str">
            <v>109</v>
          </cell>
          <cell r="C109" t="str">
            <v>NAF 17</v>
          </cell>
          <cell r="D109" t="str">
            <v>OQ</v>
          </cell>
          <cell r="E109" t="str">
            <v>4</v>
          </cell>
          <cell r="F109" t="str">
            <v>nd</v>
          </cell>
          <cell r="G109">
            <v>7.8</v>
          </cell>
          <cell r="H109">
            <v>34</v>
          </cell>
          <cell r="I109">
            <v>44.1</v>
          </cell>
          <cell r="J109">
            <v>13.8</v>
          </cell>
          <cell r="K109">
            <v>45.300000000000004</v>
          </cell>
          <cell r="L109">
            <v>36.700000000000003</v>
          </cell>
          <cell r="M109">
            <v>6.7</v>
          </cell>
          <cell r="N109">
            <v>11.3</v>
          </cell>
          <cell r="O109">
            <v>22.7</v>
          </cell>
          <cell r="P109">
            <v>46.6</v>
          </cell>
          <cell r="Q109">
            <v>9</v>
          </cell>
          <cell r="R109">
            <v>4.1000000000000005</v>
          </cell>
          <cell r="S109">
            <v>27.200000000000003</v>
          </cell>
          <cell r="T109">
            <v>13.900000000000002</v>
          </cell>
          <cell r="U109">
            <v>6.5</v>
          </cell>
          <cell r="V109">
            <v>24.6</v>
          </cell>
          <cell r="W109">
            <v>8.6</v>
          </cell>
          <cell r="X109">
            <v>82.699999999999989</v>
          </cell>
          <cell r="Y109">
            <v>8.6999999999999993</v>
          </cell>
          <cell r="Z109">
            <v>0</v>
          </cell>
          <cell r="AA109">
            <v>32.5</v>
          </cell>
          <cell r="AB109">
            <v>6.5</v>
          </cell>
          <cell r="AC109">
            <v>31.2</v>
          </cell>
          <cell r="AD109">
            <v>48.1</v>
          </cell>
          <cell r="AE109">
            <v>48.1</v>
          </cell>
          <cell r="AF109">
            <v>51.9</v>
          </cell>
          <cell r="AG109">
            <v>87.7</v>
          </cell>
          <cell r="AH109">
            <v>12.3</v>
          </cell>
          <cell r="AI109">
            <v>12.7</v>
          </cell>
          <cell r="AJ109">
            <v>10.199999999999999</v>
          </cell>
          <cell r="AK109">
            <v>2.5</v>
          </cell>
          <cell r="AL109">
            <v>66.600000000000009</v>
          </cell>
          <cell r="AM109">
            <v>7.9</v>
          </cell>
          <cell r="AN109">
            <v>2.5</v>
          </cell>
          <cell r="AO109">
            <v>1.7000000000000002</v>
          </cell>
          <cell r="AP109">
            <v>2.1</v>
          </cell>
          <cell r="AQ109">
            <v>88.3</v>
          </cell>
          <cell r="AR109">
            <v>5.4</v>
          </cell>
          <cell r="AS109">
            <v>79.5</v>
          </cell>
          <cell r="AT109">
            <v>7.9</v>
          </cell>
          <cell r="AU109">
            <v>3.3000000000000003</v>
          </cell>
          <cell r="AV109">
            <v>2.6</v>
          </cell>
          <cell r="AW109">
            <v>1.7000000000000002</v>
          </cell>
          <cell r="AX109">
            <v>5.0999999999999996</v>
          </cell>
          <cell r="AY109">
            <v>2.7</v>
          </cell>
          <cell r="AZ109">
            <v>3.2</v>
          </cell>
          <cell r="BA109">
            <v>2</v>
          </cell>
          <cell r="BB109">
            <v>5.7</v>
          </cell>
          <cell r="BC109">
            <v>38.6</v>
          </cell>
          <cell r="BD109">
            <v>47.9</v>
          </cell>
          <cell r="BE109">
            <v>0</v>
          </cell>
          <cell r="BF109" t="str">
            <v>nd</v>
          </cell>
          <cell r="BG109" t="str">
            <v>nd</v>
          </cell>
          <cell r="BH109">
            <v>5.5</v>
          </cell>
          <cell r="BI109">
            <v>33.5</v>
          </cell>
          <cell r="BJ109">
            <v>60.4</v>
          </cell>
          <cell r="BK109">
            <v>0</v>
          </cell>
          <cell r="BL109" t="str">
            <v>nd</v>
          </cell>
          <cell r="BM109" t="str">
            <v>nd</v>
          </cell>
          <cell r="BN109">
            <v>16.600000000000001</v>
          </cell>
          <cell r="BO109">
            <v>67.2</v>
          </cell>
          <cell r="BP109">
            <v>15.299999999999999</v>
          </cell>
          <cell r="BQ109">
            <v>0</v>
          </cell>
          <cell r="BR109">
            <v>0</v>
          </cell>
          <cell r="BS109">
            <v>1.0999999999999999</v>
          </cell>
          <cell r="BT109">
            <v>13.5</v>
          </cell>
          <cell r="BU109">
            <v>55.2</v>
          </cell>
          <cell r="BV109">
            <v>30.2</v>
          </cell>
          <cell r="BW109">
            <v>0</v>
          </cell>
          <cell r="BX109">
            <v>0</v>
          </cell>
          <cell r="BY109">
            <v>0</v>
          </cell>
          <cell r="BZ109" t="str">
            <v>nd</v>
          </cell>
          <cell r="CA109">
            <v>1.5</v>
          </cell>
          <cell r="CB109">
            <v>98.4</v>
          </cell>
          <cell r="CC109">
            <v>13.8</v>
          </cell>
          <cell r="CD109">
            <v>10.299999999999999</v>
          </cell>
          <cell r="CE109">
            <v>3.1</v>
          </cell>
          <cell r="CF109">
            <v>2.8000000000000003</v>
          </cell>
          <cell r="CG109">
            <v>0.8</v>
          </cell>
          <cell r="CH109">
            <v>12.9</v>
          </cell>
          <cell r="CI109">
            <v>11.1</v>
          </cell>
          <cell r="CJ109">
            <v>64.600000000000009</v>
          </cell>
          <cell r="CK109">
            <v>23.200000000000003</v>
          </cell>
          <cell r="CL109">
            <v>1.5</v>
          </cell>
          <cell r="CM109">
            <v>8.6</v>
          </cell>
          <cell r="CN109">
            <v>2</v>
          </cell>
          <cell r="CO109">
            <v>68.8</v>
          </cell>
          <cell r="CP109">
            <v>23.5</v>
          </cell>
          <cell r="CQ109">
            <v>22.900000000000002</v>
          </cell>
          <cell r="CR109">
            <v>14.7</v>
          </cell>
          <cell r="CS109">
            <v>38.9</v>
          </cell>
          <cell r="CT109">
            <v>32.200000000000003</v>
          </cell>
          <cell r="CU109">
            <v>67.800000000000011</v>
          </cell>
          <cell r="CV109">
            <v>25.1</v>
          </cell>
          <cell r="CW109">
            <v>74.900000000000006</v>
          </cell>
          <cell r="CX109">
            <v>10.8</v>
          </cell>
          <cell r="CY109">
            <v>9.6</v>
          </cell>
          <cell r="CZ109">
            <v>79.5</v>
          </cell>
          <cell r="DA109">
            <v>19.8</v>
          </cell>
          <cell r="DB109">
            <v>18.7</v>
          </cell>
          <cell r="DC109">
            <v>11</v>
          </cell>
          <cell r="DD109">
            <v>0</v>
          </cell>
          <cell r="DE109">
            <v>63.7</v>
          </cell>
          <cell r="DF109">
            <v>25.6</v>
          </cell>
          <cell r="DG109">
            <v>12.9</v>
          </cell>
          <cell r="DH109">
            <v>25.7</v>
          </cell>
          <cell r="DI109">
            <v>8.9</v>
          </cell>
          <cell r="DJ109">
            <v>6.6000000000000005</v>
          </cell>
          <cell r="DK109">
            <v>20.399999999999999</v>
          </cell>
          <cell r="DL109">
            <v>19.100000000000001</v>
          </cell>
          <cell r="DM109">
            <v>12.8</v>
          </cell>
          <cell r="DN109">
            <v>20.599999999999998</v>
          </cell>
          <cell r="DO109">
            <v>40.9</v>
          </cell>
          <cell r="DP109">
            <v>11.5</v>
          </cell>
          <cell r="DQ109">
            <v>3.1</v>
          </cell>
          <cell r="DR109">
            <v>5.6000000000000005</v>
          </cell>
          <cell r="DS109">
            <v>20</v>
          </cell>
          <cell r="DT109">
            <v>23.1</v>
          </cell>
          <cell r="DU109" t="str">
            <v>nd</v>
          </cell>
          <cell r="DV109">
            <v>0</v>
          </cell>
          <cell r="DW109">
            <v>0</v>
          </cell>
          <cell r="DX109">
            <v>0</v>
          </cell>
          <cell r="DY109">
            <v>0</v>
          </cell>
          <cell r="DZ109">
            <v>5.1865100000000002</v>
          </cell>
          <cell r="EA109">
            <v>0.45742700000000003</v>
          </cell>
          <cell r="EB109" t="str">
            <v>nd</v>
          </cell>
          <cell r="EC109">
            <v>1.1447000000000001</v>
          </cell>
          <cell r="ED109">
            <v>0</v>
          </cell>
          <cell r="EE109" t="str">
            <v>nd</v>
          </cell>
          <cell r="EF109">
            <v>25.520182299999998</v>
          </cell>
          <cell r="EG109">
            <v>4.2037300000000002</v>
          </cell>
          <cell r="EH109">
            <v>1.7794700000000001</v>
          </cell>
          <cell r="EI109" t="str">
            <v>nd</v>
          </cell>
          <cell r="EJ109" t="str">
            <v>nd</v>
          </cell>
          <cell r="EK109">
            <v>1.6783300000000001</v>
          </cell>
          <cell r="EL109">
            <v>35.650184799999998</v>
          </cell>
          <cell r="EM109">
            <v>2.488</v>
          </cell>
          <cell r="EN109">
            <v>1.14184</v>
          </cell>
          <cell r="EO109">
            <v>0.85164000000000006</v>
          </cell>
          <cell r="EP109">
            <v>1.06131</v>
          </cell>
          <cell r="EQ109">
            <v>2.5753200000000001</v>
          </cell>
          <cell r="ER109">
            <v>12.755466300000002</v>
          </cell>
          <cell r="ES109">
            <v>0.76692899999999997</v>
          </cell>
          <cell r="ET109">
            <v>0</v>
          </cell>
          <cell r="EU109" t="str">
            <v>nd</v>
          </cell>
          <cell r="EV109">
            <v>0</v>
          </cell>
          <cell r="EW109" t="str">
            <v>nd</v>
          </cell>
          <cell r="EX109">
            <v>0</v>
          </cell>
          <cell r="EY109">
            <v>0</v>
          </cell>
          <cell r="EZ109">
            <v>0</v>
          </cell>
          <cell r="FA109">
            <v>0</v>
          </cell>
          <cell r="FB109" t="str">
            <v>nd</v>
          </cell>
          <cell r="FC109" t="str">
            <v>nd</v>
          </cell>
          <cell r="FD109" t="str">
            <v>nd</v>
          </cell>
          <cell r="FE109">
            <v>0</v>
          </cell>
          <cell r="FF109" t="str">
            <v>nd</v>
          </cell>
          <cell r="FG109">
            <v>3.3912999999999998</v>
          </cell>
          <cell r="FH109">
            <v>3.9352699999999996</v>
          </cell>
          <cell r="FI109">
            <v>0.46439400000000003</v>
          </cell>
          <cell r="FJ109">
            <v>0.68858900000000001</v>
          </cell>
          <cell r="FK109">
            <v>1.18702</v>
          </cell>
          <cell r="FL109">
            <v>1.9128499999999999</v>
          </cell>
          <cell r="FM109">
            <v>14.035735599999999</v>
          </cell>
          <cell r="FN109">
            <v>16.1188115</v>
          </cell>
          <cell r="FO109">
            <v>1.9598</v>
          </cell>
          <cell r="FP109">
            <v>2.1200700000000001</v>
          </cell>
          <cell r="FQ109">
            <v>0.78404000000000007</v>
          </cell>
          <cell r="FR109">
            <v>2.9186700000000001</v>
          </cell>
          <cell r="FS109">
            <v>17.999205400000001</v>
          </cell>
          <cell r="FT109">
            <v>17.633016700000002</v>
          </cell>
          <cell r="FU109">
            <v>0</v>
          </cell>
          <cell r="FV109" t="str">
            <v>nd</v>
          </cell>
          <cell r="FW109">
            <v>0</v>
          </cell>
          <cell r="FX109">
            <v>0.68695300000000004</v>
          </cell>
          <cell r="FY109">
            <v>3.2246299999999999</v>
          </cell>
          <cell r="FZ109">
            <v>9.8128829999999994</v>
          </cell>
          <cell r="GA109">
            <v>0</v>
          </cell>
          <cell r="GB109">
            <v>0</v>
          </cell>
          <cell r="GC109">
            <v>0</v>
          </cell>
          <cell r="GD109">
            <v>0</v>
          </cell>
          <cell r="GE109" t="str">
            <v>nd</v>
          </cell>
          <cell r="GF109">
            <v>0</v>
          </cell>
          <cell r="GG109" t="str">
            <v>nd</v>
          </cell>
          <cell r="GH109">
            <v>0</v>
          </cell>
          <cell r="GI109" t="str">
            <v>nd</v>
          </cell>
          <cell r="GJ109">
            <v>2.5263899999999997</v>
          </cell>
          <cell r="GK109">
            <v>4.8315700000000001</v>
          </cell>
          <cell r="GL109">
            <v>0</v>
          </cell>
          <cell r="GM109">
            <v>0</v>
          </cell>
          <cell r="GN109" t="str">
            <v>nd</v>
          </cell>
          <cell r="GO109">
            <v>2.6399300000000001</v>
          </cell>
          <cell r="GP109">
            <v>12.9860772</v>
          </cell>
          <cell r="GQ109">
            <v>17.757257800000001</v>
          </cell>
          <cell r="GR109">
            <v>0</v>
          </cell>
          <cell r="GS109">
            <v>0</v>
          </cell>
          <cell r="GT109" t="str">
            <v>nd</v>
          </cell>
          <cell r="GU109">
            <v>2.1503199999999998</v>
          </cell>
          <cell r="GV109">
            <v>13.374861399999999</v>
          </cell>
          <cell r="GW109">
            <v>28.6516053</v>
          </cell>
          <cell r="GX109">
            <v>0</v>
          </cell>
          <cell r="GY109">
            <v>0</v>
          </cell>
          <cell r="GZ109">
            <v>0</v>
          </cell>
          <cell r="HA109">
            <v>0.58289299999999999</v>
          </cell>
          <cell r="HB109">
            <v>4.65428</v>
          </cell>
          <cell r="HC109">
            <v>8.8101605999999997</v>
          </cell>
          <cell r="HD109">
            <v>0</v>
          </cell>
          <cell r="HE109" t="str">
            <v>nd</v>
          </cell>
          <cell r="HF109">
            <v>0</v>
          </cell>
          <cell r="HG109">
            <v>0</v>
          </cell>
          <cell r="HH109" t="str">
            <v>nd</v>
          </cell>
          <cell r="HI109">
            <v>0</v>
          </cell>
          <cell r="HJ109">
            <v>0</v>
          </cell>
          <cell r="HK109">
            <v>0</v>
          </cell>
          <cell r="HL109">
            <v>1.30515</v>
          </cell>
          <cell r="HM109">
            <v>5.0758200000000002</v>
          </cell>
          <cell r="HN109">
            <v>1.53976</v>
          </cell>
          <cell r="HO109">
            <v>0</v>
          </cell>
          <cell r="HP109">
            <v>0</v>
          </cell>
          <cell r="HQ109" t="str">
            <v>nd</v>
          </cell>
          <cell r="HR109">
            <v>5.9276499999999999</v>
          </cell>
          <cell r="HS109">
            <v>23.311547399999998</v>
          </cell>
          <cell r="HT109">
            <v>4.2969499999999998</v>
          </cell>
          <cell r="HU109">
            <v>0</v>
          </cell>
          <cell r="HV109">
            <v>0</v>
          </cell>
          <cell r="HW109">
            <v>0</v>
          </cell>
          <cell r="HX109">
            <v>7.2006539999999992</v>
          </cell>
          <cell r="HY109">
            <v>29.881641500000001</v>
          </cell>
          <cell r="HZ109">
            <v>6.6683176</v>
          </cell>
          <cell r="IA109">
            <v>0</v>
          </cell>
          <cell r="IB109" t="str">
            <v>nd</v>
          </cell>
          <cell r="IC109">
            <v>0</v>
          </cell>
          <cell r="ID109">
            <v>2.1682300000000003</v>
          </cell>
          <cell r="IE109">
            <v>8.7991668000000001</v>
          </cell>
          <cell r="IF109">
            <v>2.6475300000000002</v>
          </cell>
          <cell r="IG109">
            <v>0</v>
          </cell>
          <cell r="IH109">
            <v>0</v>
          </cell>
          <cell r="II109">
            <v>0</v>
          </cell>
          <cell r="IJ109">
            <v>0</v>
          </cell>
          <cell r="IK109" t="str">
            <v>nd</v>
          </cell>
          <cell r="IL109">
            <v>0</v>
          </cell>
          <cell r="IM109">
            <v>0</v>
          </cell>
          <cell r="IN109" t="str">
            <v>nd</v>
          </cell>
          <cell r="IO109" t="str">
            <v>nd</v>
          </cell>
          <cell r="IP109">
            <v>3.4565100000000002</v>
          </cell>
          <cell r="IQ109">
            <v>3.1634299999999995</v>
          </cell>
          <cell r="IR109">
            <v>0</v>
          </cell>
          <cell r="IS109">
            <v>0</v>
          </cell>
          <cell r="IT109">
            <v>0.652034</v>
          </cell>
          <cell r="IU109">
            <v>5.5156700000000001</v>
          </cell>
          <cell r="IV109">
            <v>17.349245199999999</v>
          </cell>
          <cell r="IW109">
            <v>10.193443200000001</v>
          </cell>
          <cell r="IX109">
            <v>0</v>
          </cell>
          <cell r="IY109">
            <v>0</v>
          </cell>
          <cell r="IZ109" t="str">
            <v>nd</v>
          </cell>
          <cell r="JA109">
            <v>4.2501499999999997</v>
          </cell>
          <cell r="JB109">
            <v>25.688975499999998</v>
          </cell>
          <cell r="JC109">
            <v>14.120808400000001</v>
          </cell>
          <cell r="JD109">
            <v>0</v>
          </cell>
          <cell r="JE109">
            <v>0</v>
          </cell>
          <cell r="JF109">
            <v>0</v>
          </cell>
          <cell r="JG109">
            <v>2.8601100000000002</v>
          </cell>
          <cell r="JH109">
            <v>8.7189902999999997</v>
          </cell>
          <cell r="JI109">
            <v>2.36632</v>
          </cell>
          <cell r="JJ109">
            <v>0</v>
          </cell>
          <cell r="JK109">
            <v>0</v>
          </cell>
          <cell r="JL109">
            <v>0</v>
          </cell>
          <cell r="JM109">
            <v>0</v>
          </cell>
          <cell r="JN109" t="str">
            <v>nd</v>
          </cell>
          <cell r="JO109">
            <v>0</v>
          </cell>
          <cell r="JP109">
            <v>0</v>
          </cell>
          <cell r="JQ109">
            <v>0</v>
          </cell>
          <cell r="JR109">
            <v>0</v>
          </cell>
          <cell r="JS109" t="str">
            <v>nd</v>
          </cell>
          <cell r="JT109">
            <v>7.5787833999999998</v>
          </cell>
          <cell r="JU109">
            <v>0</v>
          </cell>
          <cell r="JV109">
            <v>0</v>
          </cell>
          <cell r="JW109">
            <v>0</v>
          </cell>
          <cell r="JX109" t="str">
            <v>nd</v>
          </cell>
          <cell r="JY109">
            <v>0.97006999999999999</v>
          </cell>
          <cell r="JZ109">
            <v>32.360303600000002</v>
          </cell>
          <cell r="KA109">
            <v>0</v>
          </cell>
          <cell r="KB109">
            <v>0</v>
          </cell>
          <cell r="KC109">
            <v>0</v>
          </cell>
          <cell r="KD109">
            <v>0</v>
          </cell>
          <cell r="KE109" t="str">
            <v>nd</v>
          </cell>
          <cell r="KF109">
            <v>44.209151800000001</v>
          </cell>
          <cell r="KG109">
            <v>0</v>
          </cell>
          <cell r="KH109">
            <v>0</v>
          </cell>
          <cell r="KI109">
            <v>0</v>
          </cell>
          <cell r="KJ109">
            <v>0</v>
          </cell>
          <cell r="KK109">
            <v>0</v>
          </cell>
          <cell r="KL109">
            <v>13.863772899999999</v>
          </cell>
          <cell r="KM109">
            <v>74.400000000000006</v>
          </cell>
          <cell r="KN109">
            <v>7.3</v>
          </cell>
          <cell r="KO109">
            <v>3.5000000000000004</v>
          </cell>
          <cell r="KP109">
            <v>8.2000000000000011</v>
          </cell>
          <cell r="KQ109">
            <v>6.6000000000000005</v>
          </cell>
          <cell r="KR109">
            <v>0.1</v>
          </cell>
          <cell r="KS109">
            <v>72.5</v>
          </cell>
          <cell r="KT109">
            <v>7.3999999999999995</v>
          </cell>
          <cell r="KU109">
            <v>3.8</v>
          </cell>
          <cell r="KV109">
            <v>9</v>
          </cell>
          <cell r="KW109">
            <v>7.1999999999999993</v>
          </cell>
          <cell r="KX109">
            <v>0.1</v>
          </cell>
          <cell r="KY109"/>
          <cell r="KZ109"/>
          <cell r="LA109"/>
          <cell r="LB109"/>
          <cell r="LC109"/>
          <cell r="LD109"/>
          <cell r="LE109"/>
          <cell r="LF109"/>
          <cell r="LG109"/>
          <cell r="LH109"/>
          <cell r="LI109"/>
          <cell r="LJ109"/>
          <cell r="LK109"/>
          <cell r="LL109"/>
          <cell r="LM109"/>
          <cell r="LN109"/>
          <cell r="LO109"/>
        </row>
        <row r="110">
          <cell r="A110" t="str">
            <v>5OQ</v>
          </cell>
          <cell r="B110" t="str">
            <v>110</v>
          </cell>
          <cell r="C110" t="str">
            <v>NAF 17</v>
          </cell>
          <cell r="D110" t="str">
            <v>OQ</v>
          </cell>
          <cell r="E110" t="str">
            <v>5</v>
          </cell>
          <cell r="F110" t="str">
            <v>nd</v>
          </cell>
          <cell r="G110">
            <v>8.7999999999999989</v>
          </cell>
          <cell r="H110">
            <v>36</v>
          </cell>
          <cell r="I110">
            <v>47</v>
          </cell>
          <cell r="J110">
            <v>7.7</v>
          </cell>
          <cell r="K110">
            <v>41.4</v>
          </cell>
          <cell r="L110">
            <v>35.099999999999994</v>
          </cell>
          <cell r="M110">
            <v>8.7999999999999989</v>
          </cell>
          <cell r="N110">
            <v>14.6</v>
          </cell>
          <cell r="O110">
            <v>21.2</v>
          </cell>
          <cell r="P110">
            <v>43.8</v>
          </cell>
          <cell r="Q110">
            <v>10.100000000000001</v>
          </cell>
          <cell r="R110">
            <v>5.2</v>
          </cell>
          <cell r="S110">
            <v>28.799999999999997</v>
          </cell>
          <cell r="T110">
            <v>16.5</v>
          </cell>
          <cell r="U110">
            <v>10.299999999999999</v>
          </cell>
          <cell r="V110">
            <v>22.3</v>
          </cell>
          <cell r="W110">
            <v>11</v>
          </cell>
          <cell r="X110">
            <v>82.699999999999989</v>
          </cell>
          <cell r="Y110">
            <v>6.3</v>
          </cell>
          <cell r="Z110">
            <v>0</v>
          </cell>
          <cell r="AA110">
            <v>64.5</v>
          </cell>
          <cell r="AB110" t="str">
            <v>nd</v>
          </cell>
          <cell r="AC110">
            <v>43</v>
          </cell>
          <cell r="AD110">
            <v>32.700000000000003</v>
          </cell>
          <cell r="AE110">
            <v>53.2</v>
          </cell>
          <cell r="AF110">
            <v>46.800000000000004</v>
          </cell>
          <cell r="AG110">
            <v>83.399999999999991</v>
          </cell>
          <cell r="AH110">
            <v>16.600000000000001</v>
          </cell>
          <cell r="AI110">
            <v>14.299999999999999</v>
          </cell>
          <cell r="AJ110">
            <v>13</v>
          </cell>
          <cell r="AK110">
            <v>4</v>
          </cell>
          <cell r="AL110">
            <v>65.2</v>
          </cell>
          <cell r="AM110">
            <v>3.5999999999999996</v>
          </cell>
          <cell r="AN110">
            <v>7.3999999999999995</v>
          </cell>
          <cell r="AO110">
            <v>1.7000000000000002</v>
          </cell>
          <cell r="AP110">
            <v>4.5</v>
          </cell>
          <cell r="AQ110">
            <v>81.599999999999994</v>
          </cell>
          <cell r="AR110">
            <v>4.7</v>
          </cell>
          <cell r="AS110">
            <v>76.900000000000006</v>
          </cell>
          <cell r="AT110">
            <v>11.5</v>
          </cell>
          <cell r="AU110">
            <v>3.4000000000000004</v>
          </cell>
          <cell r="AV110">
            <v>1.7999999999999998</v>
          </cell>
          <cell r="AW110">
            <v>1.7000000000000002</v>
          </cell>
          <cell r="AX110">
            <v>4.8</v>
          </cell>
          <cell r="AY110">
            <v>2.7</v>
          </cell>
          <cell r="AZ110">
            <v>3.6999999999999997</v>
          </cell>
          <cell r="BA110">
            <v>1.7000000000000002</v>
          </cell>
          <cell r="BB110">
            <v>6.8000000000000007</v>
          </cell>
          <cell r="BC110">
            <v>43.9</v>
          </cell>
          <cell r="BD110">
            <v>41.199999999999996</v>
          </cell>
          <cell r="BE110" t="str">
            <v>nd</v>
          </cell>
          <cell r="BF110">
            <v>0</v>
          </cell>
          <cell r="BG110" t="str">
            <v>nd</v>
          </cell>
          <cell r="BH110">
            <v>4.8</v>
          </cell>
          <cell r="BI110">
            <v>41.6</v>
          </cell>
          <cell r="BJ110">
            <v>51.800000000000004</v>
          </cell>
          <cell r="BK110">
            <v>0</v>
          </cell>
          <cell r="BL110">
            <v>0</v>
          </cell>
          <cell r="BM110">
            <v>2.1</v>
          </cell>
          <cell r="BN110">
            <v>20.8</v>
          </cell>
          <cell r="BO110">
            <v>65.5</v>
          </cell>
          <cell r="BP110">
            <v>11.600000000000001</v>
          </cell>
          <cell r="BQ110">
            <v>0</v>
          </cell>
          <cell r="BR110">
            <v>0</v>
          </cell>
          <cell r="BS110">
            <v>1.7000000000000002</v>
          </cell>
          <cell r="BT110">
            <v>14.2</v>
          </cell>
          <cell r="BU110">
            <v>57.699999999999996</v>
          </cell>
          <cell r="BV110">
            <v>26.3</v>
          </cell>
          <cell r="BW110">
            <v>0</v>
          </cell>
          <cell r="BX110">
            <v>0</v>
          </cell>
          <cell r="BY110">
            <v>0</v>
          </cell>
          <cell r="BZ110">
            <v>0</v>
          </cell>
          <cell r="CA110">
            <v>0.6</v>
          </cell>
          <cell r="CB110">
            <v>99.4</v>
          </cell>
          <cell r="CC110">
            <v>14.7</v>
          </cell>
          <cell r="CD110">
            <v>10.4</v>
          </cell>
          <cell r="CE110">
            <v>2.1999999999999997</v>
          </cell>
          <cell r="CF110">
            <v>0</v>
          </cell>
          <cell r="CG110">
            <v>0</v>
          </cell>
          <cell r="CH110">
            <v>9</v>
          </cell>
          <cell r="CI110">
            <v>6.6000000000000005</v>
          </cell>
          <cell r="CJ110">
            <v>69.399999999999991</v>
          </cell>
          <cell r="CK110">
            <v>18.5</v>
          </cell>
          <cell r="CL110">
            <v>2.5</v>
          </cell>
          <cell r="CM110">
            <v>5</v>
          </cell>
          <cell r="CN110">
            <v>1</v>
          </cell>
          <cell r="CO110">
            <v>78.5</v>
          </cell>
          <cell r="CP110">
            <v>21.6</v>
          </cell>
          <cell r="CQ110">
            <v>31.1</v>
          </cell>
          <cell r="CR110">
            <v>12.3</v>
          </cell>
          <cell r="CS110">
            <v>35</v>
          </cell>
          <cell r="CT110">
            <v>36.4</v>
          </cell>
          <cell r="CU110">
            <v>63.6</v>
          </cell>
          <cell r="CV110">
            <v>26.8</v>
          </cell>
          <cell r="CW110">
            <v>73.2</v>
          </cell>
          <cell r="CX110">
            <v>9.4</v>
          </cell>
          <cell r="CY110">
            <v>14.6</v>
          </cell>
          <cell r="CZ110">
            <v>76.099999999999994</v>
          </cell>
          <cell r="DA110">
            <v>15.1</v>
          </cell>
          <cell r="DB110" t="str">
            <v>nd</v>
          </cell>
          <cell r="DC110">
            <v>11.600000000000001</v>
          </cell>
          <cell r="DD110">
            <v>0</v>
          </cell>
          <cell r="DE110">
            <v>90.7</v>
          </cell>
          <cell r="DF110">
            <v>21.6</v>
          </cell>
          <cell r="DG110">
            <v>7.8</v>
          </cell>
          <cell r="DH110">
            <v>27.400000000000002</v>
          </cell>
          <cell r="DI110">
            <v>10.8</v>
          </cell>
          <cell r="DJ110">
            <v>8.6</v>
          </cell>
          <cell r="DK110">
            <v>24</v>
          </cell>
          <cell r="DL110">
            <v>16.5</v>
          </cell>
          <cell r="DM110">
            <v>17.399999999999999</v>
          </cell>
          <cell r="DN110">
            <v>17.2</v>
          </cell>
          <cell r="DO110">
            <v>46.5</v>
          </cell>
          <cell r="DP110">
            <v>3.9</v>
          </cell>
          <cell r="DQ110">
            <v>2.7</v>
          </cell>
          <cell r="DR110">
            <v>5.0999999999999996</v>
          </cell>
          <cell r="DS110">
            <v>25.6</v>
          </cell>
          <cell r="DT110">
            <v>23.200000000000003</v>
          </cell>
          <cell r="DU110" t="str">
            <v>nd</v>
          </cell>
          <cell r="DV110">
            <v>0</v>
          </cell>
          <cell r="DW110">
            <v>0</v>
          </cell>
          <cell r="DX110">
            <v>0</v>
          </cell>
          <cell r="DY110">
            <v>0</v>
          </cell>
          <cell r="DZ110">
            <v>6.0397600000000002</v>
          </cell>
          <cell r="EA110">
            <v>0.71287100000000003</v>
          </cell>
          <cell r="EB110" t="str">
            <v>nd</v>
          </cell>
          <cell r="EC110" t="str">
            <v>nd</v>
          </cell>
          <cell r="ED110" t="str">
            <v>nd</v>
          </cell>
          <cell r="EE110">
            <v>0.85518000000000005</v>
          </cell>
          <cell r="EF110">
            <v>24.715016900000002</v>
          </cell>
          <cell r="EG110">
            <v>5.49092</v>
          </cell>
          <cell r="EH110">
            <v>2.1913200000000002</v>
          </cell>
          <cell r="EI110">
            <v>0.91184000000000009</v>
          </cell>
          <cell r="EJ110" t="str">
            <v>nd</v>
          </cell>
          <cell r="EK110">
            <v>1.9104699999999999</v>
          </cell>
          <cell r="EL110">
            <v>39.6032072</v>
          </cell>
          <cell r="EM110">
            <v>4.7065400000000004</v>
          </cell>
          <cell r="EN110" t="str">
            <v>nd</v>
          </cell>
          <cell r="EO110" t="str">
            <v>nd</v>
          </cell>
          <cell r="EP110" t="str">
            <v>nd</v>
          </cell>
          <cell r="EQ110">
            <v>1.03807</v>
          </cell>
          <cell r="ER110">
            <v>5.8669600000000006</v>
          </cell>
          <cell r="ES110">
            <v>0.61671399999999998</v>
          </cell>
          <cell r="ET110" t="str">
            <v>nd</v>
          </cell>
          <cell r="EU110">
            <v>0</v>
          </cell>
          <cell r="EV110">
            <v>0</v>
          </cell>
          <cell r="EW110" t="str">
            <v>nd</v>
          </cell>
          <cell r="EX110">
            <v>0</v>
          </cell>
          <cell r="EY110">
            <v>0</v>
          </cell>
          <cell r="EZ110">
            <v>0</v>
          </cell>
          <cell r="FA110">
            <v>0</v>
          </cell>
          <cell r="FB110" t="str">
            <v>nd</v>
          </cell>
          <cell r="FC110" t="str">
            <v>nd</v>
          </cell>
          <cell r="FD110">
            <v>0.55437999999999998</v>
          </cell>
          <cell r="FE110" t="str">
            <v>nd</v>
          </cell>
          <cell r="FF110">
            <v>0.64270100000000008</v>
          </cell>
          <cell r="FG110">
            <v>3.2308999999999997</v>
          </cell>
          <cell r="FH110">
            <v>4.2458099999999996</v>
          </cell>
          <cell r="FI110">
            <v>1.50949</v>
          </cell>
          <cell r="FJ110">
            <v>2.4178000000000002</v>
          </cell>
          <cell r="FK110">
            <v>0.41633499999999996</v>
          </cell>
          <cell r="FL110">
            <v>3.3864999999999998</v>
          </cell>
          <cell r="FM110">
            <v>15.013879899999999</v>
          </cell>
          <cell r="FN110">
            <v>12.802976299999999</v>
          </cell>
          <cell r="FO110">
            <v>1.0637799999999999</v>
          </cell>
          <cell r="FP110">
            <v>0.57703300000000002</v>
          </cell>
          <cell r="FQ110">
            <v>1.1095199999999998</v>
          </cell>
          <cell r="FR110">
            <v>1.97163</v>
          </cell>
          <cell r="FS110">
            <v>22.723355600000001</v>
          </cell>
          <cell r="FT110">
            <v>19.656175699999999</v>
          </cell>
          <cell r="FU110">
            <v>0</v>
          </cell>
          <cell r="FV110" t="str">
            <v>nd</v>
          </cell>
          <cell r="FW110">
            <v>0</v>
          </cell>
          <cell r="FX110" t="str">
            <v>nd</v>
          </cell>
          <cell r="FY110">
            <v>2.8029100000000002</v>
          </cell>
          <cell r="FZ110">
            <v>4.0159500000000001</v>
          </cell>
          <cell r="GA110">
            <v>0</v>
          </cell>
          <cell r="GB110">
            <v>0</v>
          </cell>
          <cell r="GC110">
            <v>0</v>
          </cell>
          <cell r="GD110">
            <v>0</v>
          </cell>
          <cell r="GE110" t="str">
            <v>nd</v>
          </cell>
          <cell r="GF110" t="str">
            <v>nd</v>
          </cell>
          <cell r="GG110">
            <v>0</v>
          </cell>
          <cell r="GH110">
            <v>0</v>
          </cell>
          <cell r="GI110">
            <v>0.91879999999999995</v>
          </cell>
          <cell r="GJ110">
            <v>2.0243699999999998</v>
          </cell>
          <cell r="GK110">
            <v>5.2760799999999994</v>
          </cell>
          <cell r="GL110" t="str">
            <v>nd</v>
          </cell>
          <cell r="GM110">
            <v>0</v>
          </cell>
          <cell r="GN110" t="str">
            <v>nd</v>
          </cell>
          <cell r="GO110">
            <v>2.7506300000000001</v>
          </cell>
          <cell r="GP110">
            <v>18.1756463</v>
          </cell>
          <cell r="GQ110">
            <v>13.987840700000001</v>
          </cell>
          <cell r="GR110">
            <v>0</v>
          </cell>
          <cell r="GS110">
            <v>0</v>
          </cell>
          <cell r="GT110">
            <v>0</v>
          </cell>
          <cell r="GU110" t="str">
            <v>nd</v>
          </cell>
          <cell r="GV110">
            <v>18.1162995</v>
          </cell>
          <cell r="GW110">
            <v>27.4132897</v>
          </cell>
          <cell r="GX110">
            <v>0</v>
          </cell>
          <cell r="GY110">
            <v>0</v>
          </cell>
          <cell r="GZ110">
            <v>0</v>
          </cell>
          <cell r="HA110">
            <v>0</v>
          </cell>
          <cell r="HB110">
            <v>3.4146500000000004</v>
          </cell>
          <cell r="HC110">
            <v>4.37</v>
          </cell>
          <cell r="HD110">
            <v>0</v>
          </cell>
          <cell r="HE110">
            <v>0</v>
          </cell>
          <cell r="HF110">
            <v>0</v>
          </cell>
          <cell r="HG110">
            <v>0</v>
          </cell>
          <cell r="HH110" t="str">
            <v>nd</v>
          </cell>
          <cell r="HI110">
            <v>0</v>
          </cell>
          <cell r="HJ110">
            <v>0</v>
          </cell>
          <cell r="HK110" t="str">
            <v>nd</v>
          </cell>
          <cell r="HL110">
            <v>1.3061400000000001</v>
          </cell>
          <cell r="HM110">
            <v>5.3664000000000005</v>
          </cell>
          <cell r="HN110">
            <v>1.9742</v>
          </cell>
          <cell r="HO110">
            <v>0</v>
          </cell>
          <cell r="HP110">
            <v>0</v>
          </cell>
          <cell r="HQ110">
            <v>0</v>
          </cell>
          <cell r="HR110">
            <v>9.3863020000000006</v>
          </cell>
          <cell r="HS110">
            <v>22.283668200000001</v>
          </cell>
          <cell r="HT110">
            <v>3.7996799999999995</v>
          </cell>
          <cell r="HU110">
            <v>0</v>
          </cell>
          <cell r="HV110">
            <v>0</v>
          </cell>
          <cell r="HW110">
            <v>1.2937700000000001</v>
          </cell>
          <cell r="HX110">
            <v>8.5840761000000008</v>
          </cell>
          <cell r="HY110">
            <v>31.9890069</v>
          </cell>
          <cell r="HZ110">
            <v>5.2434200000000004</v>
          </cell>
          <cell r="IA110">
            <v>0</v>
          </cell>
          <cell r="IB110">
            <v>0</v>
          </cell>
          <cell r="IC110" t="str">
            <v>nd</v>
          </cell>
          <cell r="ID110">
            <v>1.5986099999999999</v>
          </cell>
          <cell r="IE110">
            <v>5.73001</v>
          </cell>
          <cell r="IF110">
            <v>0</v>
          </cell>
          <cell r="IG110">
            <v>0</v>
          </cell>
          <cell r="IH110">
            <v>0</v>
          </cell>
          <cell r="II110">
            <v>0</v>
          </cell>
          <cell r="IJ110">
            <v>0</v>
          </cell>
          <cell r="IK110" t="str">
            <v>nd</v>
          </cell>
          <cell r="IL110">
            <v>0</v>
          </cell>
          <cell r="IM110">
            <v>0</v>
          </cell>
          <cell r="IN110">
            <v>0</v>
          </cell>
          <cell r="IO110">
            <v>1.6277900000000001</v>
          </cell>
          <cell r="IP110">
            <v>3.3704999999999998</v>
          </cell>
          <cell r="IQ110">
            <v>3.7709800000000002</v>
          </cell>
          <cell r="IR110">
            <v>0</v>
          </cell>
          <cell r="IS110">
            <v>0</v>
          </cell>
          <cell r="IT110" t="str">
            <v>nd</v>
          </cell>
          <cell r="IU110">
            <v>5.0518800000000006</v>
          </cell>
          <cell r="IV110">
            <v>22.337724000000001</v>
          </cell>
          <cell r="IW110">
            <v>7.7555989000000007</v>
          </cell>
          <cell r="IX110">
            <v>0</v>
          </cell>
          <cell r="IY110">
            <v>0</v>
          </cell>
          <cell r="IZ110" t="str">
            <v>nd</v>
          </cell>
          <cell r="JA110">
            <v>6.9464205000000003</v>
          </cell>
          <cell r="JB110">
            <v>27.866335500000002</v>
          </cell>
          <cell r="JC110">
            <v>11.2404606</v>
          </cell>
          <cell r="JD110">
            <v>0</v>
          </cell>
          <cell r="JE110">
            <v>0</v>
          </cell>
          <cell r="JF110">
            <v>0</v>
          </cell>
          <cell r="JG110">
            <v>0.70705300000000004</v>
          </cell>
          <cell r="JH110">
            <v>4.0735200000000003</v>
          </cell>
          <cell r="JI110">
            <v>2.9584099999999998</v>
          </cell>
          <cell r="JJ110">
            <v>0</v>
          </cell>
          <cell r="JK110">
            <v>0</v>
          </cell>
          <cell r="JL110">
            <v>0</v>
          </cell>
          <cell r="JM110">
            <v>0</v>
          </cell>
          <cell r="JN110" t="str">
            <v>nd</v>
          </cell>
          <cell r="JO110">
            <v>0</v>
          </cell>
          <cell r="JP110">
            <v>0</v>
          </cell>
          <cell r="JQ110">
            <v>0</v>
          </cell>
          <cell r="JR110">
            <v>0</v>
          </cell>
          <cell r="JS110">
            <v>0</v>
          </cell>
          <cell r="JT110">
            <v>9.0161863999999987</v>
          </cell>
          <cell r="JU110">
            <v>0</v>
          </cell>
          <cell r="JV110">
            <v>0</v>
          </cell>
          <cell r="JW110">
            <v>0</v>
          </cell>
          <cell r="JX110">
            <v>0</v>
          </cell>
          <cell r="JY110" t="str">
            <v>nd</v>
          </cell>
          <cell r="JZ110">
            <v>35.037660100000004</v>
          </cell>
          <cell r="KA110">
            <v>0</v>
          </cell>
          <cell r="KB110">
            <v>0</v>
          </cell>
          <cell r="KC110">
            <v>0</v>
          </cell>
          <cell r="KD110">
            <v>0</v>
          </cell>
          <cell r="KE110" t="str">
            <v>nd</v>
          </cell>
          <cell r="KF110">
            <v>46.895729200000005</v>
          </cell>
          <cell r="KG110">
            <v>0</v>
          </cell>
          <cell r="KH110">
            <v>0</v>
          </cell>
          <cell r="KI110">
            <v>0</v>
          </cell>
          <cell r="KJ110">
            <v>0</v>
          </cell>
          <cell r="KK110">
            <v>0</v>
          </cell>
          <cell r="KL110">
            <v>7.7606516000000001</v>
          </cell>
          <cell r="KM110">
            <v>72.899999999999991</v>
          </cell>
          <cell r="KN110">
            <v>8.5</v>
          </cell>
          <cell r="KO110">
            <v>4.3</v>
          </cell>
          <cell r="KP110">
            <v>8</v>
          </cell>
          <cell r="KQ110">
            <v>6.2</v>
          </cell>
          <cell r="KR110">
            <v>0</v>
          </cell>
          <cell r="KS110">
            <v>70.7</v>
          </cell>
          <cell r="KT110">
            <v>8.7999999999999989</v>
          </cell>
          <cell r="KU110">
            <v>4.5</v>
          </cell>
          <cell r="KV110">
            <v>9</v>
          </cell>
          <cell r="KW110">
            <v>6.9</v>
          </cell>
          <cell r="KX110">
            <v>0</v>
          </cell>
          <cell r="KY110"/>
          <cell r="KZ110"/>
          <cell r="LA110"/>
          <cell r="LB110"/>
          <cell r="LC110"/>
          <cell r="LD110"/>
          <cell r="LE110"/>
          <cell r="LF110"/>
          <cell r="LG110"/>
          <cell r="LH110"/>
          <cell r="LI110"/>
          <cell r="LJ110"/>
          <cell r="LK110"/>
          <cell r="LL110"/>
          <cell r="LM110"/>
          <cell r="LN110"/>
          <cell r="LO110"/>
        </row>
        <row r="111">
          <cell r="A111" t="str">
            <v>6OQ</v>
          </cell>
          <cell r="B111" t="str">
            <v>111</v>
          </cell>
          <cell r="C111" t="str">
            <v>NAF 17</v>
          </cell>
          <cell r="D111" t="str">
            <v>OQ</v>
          </cell>
          <cell r="E111" t="str">
            <v>6</v>
          </cell>
          <cell r="F111">
            <v>0.4</v>
          </cell>
          <cell r="G111">
            <v>5.8999999999999995</v>
          </cell>
          <cell r="H111">
            <v>34.200000000000003</v>
          </cell>
          <cell r="I111">
            <v>46.5</v>
          </cell>
          <cell r="J111">
            <v>13</v>
          </cell>
          <cell r="K111">
            <v>37.299999999999997</v>
          </cell>
          <cell r="L111">
            <v>23.3</v>
          </cell>
          <cell r="M111">
            <v>7.5</v>
          </cell>
          <cell r="N111">
            <v>31.900000000000002</v>
          </cell>
          <cell r="O111">
            <v>25.3</v>
          </cell>
          <cell r="P111">
            <v>52.1</v>
          </cell>
          <cell r="Q111">
            <v>9.3000000000000007</v>
          </cell>
          <cell r="R111">
            <v>5.4</v>
          </cell>
          <cell r="S111">
            <v>36.4</v>
          </cell>
          <cell r="T111">
            <v>11.700000000000001</v>
          </cell>
          <cell r="U111">
            <v>5</v>
          </cell>
          <cell r="V111">
            <v>16.600000000000001</v>
          </cell>
          <cell r="W111">
            <v>9.5</v>
          </cell>
          <cell r="X111">
            <v>80.400000000000006</v>
          </cell>
          <cell r="Y111">
            <v>10.100000000000001</v>
          </cell>
          <cell r="Z111" t="str">
            <v>nd</v>
          </cell>
          <cell r="AA111">
            <v>72.7</v>
          </cell>
          <cell r="AB111">
            <v>0</v>
          </cell>
          <cell r="AC111">
            <v>44.3</v>
          </cell>
          <cell r="AD111">
            <v>18.2</v>
          </cell>
          <cell r="AE111">
            <v>46.1</v>
          </cell>
          <cell r="AF111">
            <v>53.900000000000006</v>
          </cell>
          <cell r="AG111">
            <v>91.4</v>
          </cell>
          <cell r="AH111">
            <v>8.6</v>
          </cell>
          <cell r="AI111">
            <v>7.8</v>
          </cell>
          <cell r="AJ111">
            <v>4.3</v>
          </cell>
          <cell r="AK111">
            <v>3</v>
          </cell>
          <cell r="AL111">
            <v>81.100000000000009</v>
          </cell>
          <cell r="AM111">
            <v>3.6999999999999997</v>
          </cell>
          <cell r="AN111" t="str">
            <v>nd</v>
          </cell>
          <cell r="AO111" t="str">
            <v>nd</v>
          </cell>
          <cell r="AP111" t="str">
            <v>nd</v>
          </cell>
          <cell r="AQ111">
            <v>75</v>
          </cell>
          <cell r="AR111">
            <v>23</v>
          </cell>
          <cell r="AS111">
            <v>77.900000000000006</v>
          </cell>
          <cell r="AT111">
            <v>15.4</v>
          </cell>
          <cell r="AU111">
            <v>2.5</v>
          </cell>
          <cell r="AV111">
            <v>1.6</v>
          </cell>
          <cell r="AW111">
            <v>0.89999999999999991</v>
          </cell>
          <cell r="AX111">
            <v>1.7000000000000002</v>
          </cell>
          <cell r="AY111">
            <v>1.0999999999999999</v>
          </cell>
          <cell r="AZ111">
            <v>2</v>
          </cell>
          <cell r="BA111">
            <v>4.2</v>
          </cell>
          <cell r="BB111">
            <v>9.4</v>
          </cell>
          <cell r="BC111">
            <v>45.9</v>
          </cell>
          <cell r="BD111">
            <v>37.4</v>
          </cell>
          <cell r="BE111">
            <v>0.5</v>
          </cell>
          <cell r="BF111" t="str">
            <v>nd</v>
          </cell>
          <cell r="BG111">
            <v>0.70000000000000007</v>
          </cell>
          <cell r="BH111">
            <v>1.9</v>
          </cell>
          <cell r="BI111">
            <v>40</v>
          </cell>
          <cell r="BJ111">
            <v>56.699999999999996</v>
          </cell>
          <cell r="BK111">
            <v>0</v>
          </cell>
          <cell r="BL111">
            <v>0</v>
          </cell>
          <cell r="BM111">
            <v>1.3</v>
          </cell>
          <cell r="BN111">
            <v>23.400000000000002</v>
          </cell>
          <cell r="BO111">
            <v>65.400000000000006</v>
          </cell>
          <cell r="BP111">
            <v>9.9</v>
          </cell>
          <cell r="BQ111" t="str">
            <v>nd</v>
          </cell>
          <cell r="BR111" t="str">
            <v>nd</v>
          </cell>
          <cell r="BS111">
            <v>0.70000000000000007</v>
          </cell>
          <cell r="BT111">
            <v>14.6</v>
          </cell>
          <cell r="BU111">
            <v>67.7</v>
          </cell>
          <cell r="BV111">
            <v>16.7</v>
          </cell>
          <cell r="BW111">
            <v>0</v>
          </cell>
          <cell r="BX111">
            <v>0</v>
          </cell>
          <cell r="BY111">
            <v>0</v>
          </cell>
          <cell r="BZ111">
            <v>0</v>
          </cell>
          <cell r="CA111" t="str">
            <v>nd</v>
          </cell>
          <cell r="CB111">
            <v>99.9</v>
          </cell>
          <cell r="CC111">
            <v>23.7</v>
          </cell>
          <cell r="CD111">
            <v>5.0999999999999996</v>
          </cell>
          <cell r="CE111">
            <v>2.2999999999999998</v>
          </cell>
          <cell r="CF111">
            <v>3.2</v>
          </cell>
          <cell r="CG111">
            <v>1.2</v>
          </cell>
          <cell r="CH111">
            <v>6.6000000000000005</v>
          </cell>
          <cell r="CI111">
            <v>10.100000000000001</v>
          </cell>
          <cell r="CJ111">
            <v>64.2</v>
          </cell>
          <cell r="CK111">
            <v>22.1</v>
          </cell>
          <cell r="CL111">
            <v>8.9</v>
          </cell>
          <cell r="CM111">
            <v>7.7</v>
          </cell>
          <cell r="CN111">
            <v>2.6</v>
          </cell>
          <cell r="CO111">
            <v>71.099999999999994</v>
          </cell>
          <cell r="CP111">
            <v>19</v>
          </cell>
          <cell r="CQ111">
            <v>20.8</v>
          </cell>
          <cell r="CR111">
            <v>12.1</v>
          </cell>
          <cell r="CS111">
            <v>48.1</v>
          </cell>
          <cell r="CT111">
            <v>34.699999999999996</v>
          </cell>
          <cell r="CU111">
            <v>65.3</v>
          </cell>
          <cell r="CV111">
            <v>23.599999999999998</v>
          </cell>
          <cell r="CW111">
            <v>76.400000000000006</v>
          </cell>
          <cell r="CX111">
            <v>9.8000000000000007</v>
          </cell>
          <cell r="CY111">
            <v>15.6</v>
          </cell>
          <cell r="CZ111">
            <v>74.599999999999994</v>
          </cell>
          <cell r="DA111">
            <v>11.200000000000001</v>
          </cell>
          <cell r="DB111">
            <v>3.4000000000000004</v>
          </cell>
          <cell r="DC111">
            <v>18</v>
          </cell>
          <cell r="DD111" t="str">
            <v>nd</v>
          </cell>
          <cell r="DE111">
            <v>71.899999999999991</v>
          </cell>
          <cell r="DF111">
            <v>20.3</v>
          </cell>
          <cell r="DG111">
            <v>10.8</v>
          </cell>
          <cell r="DH111">
            <v>33.900000000000006</v>
          </cell>
          <cell r="DI111">
            <v>8</v>
          </cell>
          <cell r="DJ111">
            <v>6.9</v>
          </cell>
          <cell r="DK111">
            <v>20.100000000000001</v>
          </cell>
          <cell r="DL111">
            <v>21.2</v>
          </cell>
          <cell r="DM111">
            <v>12.4</v>
          </cell>
          <cell r="DN111">
            <v>19.5</v>
          </cell>
          <cell r="DO111">
            <v>44.800000000000004</v>
          </cell>
          <cell r="DP111">
            <v>7.6</v>
          </cell>
          <cell r="DQ111">
            <v>1.9</v>
          </cell>
          <cell r="DR111">
            <v>6.5</v>
          </cell>
          <cell r="DS111">
            <v>18</v>
          </cell>
          <cell r="DT111">
            <v>16</v>
          </cell>
          <cell r="DU111">
            <v>0.29729</v>
          </cell>
          <cell r="DV111">
            <v>0</v>
          </cell>
          <cell r="DW111">
            <v>0</v>
          </cell>
          <cell r="DX111" t="str">
            <v>nd</v>
          </cell>
          <cell r="DY111">
            <v>0</v>
          </cell>
          <cell r="DZ111">
            <v>3.7324900000000003</v>
          </cell>
          <cell r="EA111">
            <v>1.4671000000000001</v>
          </cell>
          <cell r="EB111">
            <v>0.41354099999999999</v>
          </cell>
          <cell r="EC111">
            <v>0.24929700000000002</v>
          </cell>
          <cell r="ED111">
            <v>0</v>
          </cell>
          <cell r="EE111" t="str">
            <v>nd</v>
          </cell>
          <cell r="EF111">
            <v>24.977404499999999</v>
          </cell>
          <cell r="EG111">
            <v>7.6409137000000005</v>
          </cell>
          <cell r="EH111">
            <v>0.359433</v>
          </cell>
          <cell r="EI111">
            <v>0.77355200000000002</v>
          </cell>
          <cell r="EJ111">
            <v>0.20484600000000003</v>
          </cell>
          <cell r="EK111">
            <v>0.27932800000000002</v>
          </cell>
          <cell r="EL111">
            <v>37.538198299999998</v>
          </cell>
          <cell r="EM111">
            <v>4.91845</v>
          </cell>
          <cell r="EN111">
            <v>1.5423100000000001</v>
          </cell>
          <cell r="EO111">
            <v>0.52281200000000005</v>
          </cell>
          <cell r="EP111">
            <v>0.69042199999999998</v>
          </cell>
          <cell r="EQ111">
            <v>1.14744</v>
          </cell>
          <cell r="ER111">
            <v>11.1221868</v>
          </cell>
          <cell r="ES111">
            <v>1.4804299999999999</v>
          </cell>
          <cell r="ET111">
            <v>0.23639500000000002</v>
          </cell>
          <cell r="EU111">
            <v>0</v>
          </cell>
          <cell r="EV111">
            <v>0</v>
          </cell>
          <cell r="EW111" t="str">
            <v>nd</v>
          </cell>
          <cell r="EX111">
            <v>0</v>
          </cell>
          <cell r="EY111" t="str">
            <v>nd</v>
          </cell>
          <cell r="EZ111" t="str">
            <v>nd</v>
          </cell>
          <cell r="FA111" t="str">
            <v>nd</v>
          </cell>
          <cell r="FB111">
            <v>0</v>
          </cell>
          <cell r="FC111">
            <v>0</v>
          </cell>
          <cell r="FD111" t="str">
            <v>nd</v>
          </cell>
          <cell r="FE111" t="str">
            <v>nd</v>
          </cell>
          <cell r="FF111">
            <v>1.00284</v>
          </cell>
          <cell r="FG111">
            <v>2.9814500000000002</v>
          </cell>
          <cell r="FH111">
            <v>1.6060300000000001</v>
          </cell>
          <cell r="FI111" t="str">
            <v>nd</v>
          </cell>
          <cell r="FJ111">
            <v>0.58748500000000003</v>
          </cell>
          <cell r="FK111">
            <v>1.21584</v>
          </cell>
          <cell r="FL111">
            <v>4.4991200000000005</v>
          </cell>
          <cell r="FM111">
            <v>18.2855153</v>
          </cell>
          <cell r="FN111">
            <v>9.3646545999999997</v>
          </cell>
          <cell r="FO111">
            <v>0.85972999999999999</v>
          </cell>
          <cell r="FP111">
            <v>0.59145200000000009</v>
          </cell>
          <cell r="FQ111">
            <v>2.2558799999999999</v>
          </cell>
          <cell r="FR111">
            <v>3.3892699999999998</v>
          </cell>
          <cell r="FS111">
            <v>18.031708399999999</v>
          </cell>
          <cell r="FT111">
            <v>21.1642692</v>
          </cell>
          <cell r="FU111" t="str">
            <v>nd</v>
          </cell>
          <cell r="FV111" t="str">
            <v>nd</v>
          </cell>
          <cell r="FW111">
            <v>0.55936799999999998</v>
          </cell>
          <cell r="FX111">
            <v>0.50926900000000008</v>
          </cell>
          <cell r="FY111">
            <v>6.0957499999999998</v>
          </cell>
          <cell r="FZ111">
            <v>5.3429500000000001</v>
          </cell>
          <cell r="GA111">
            <v>0</v>
          </cell>
          <cell r="GB111" t="str">
            <v>nd</v>
          </cell>
          <cell r="GC111">
            <v>0</v>
          </cell>
          <cell r="GD111">
            <v>0</v>
          </cell>
          <cell r="GE111">
            <v>0.37096299999999999</v>
          </cell>
          <cell r="GF111">
            <v>0</v>
          </cell>
          <cell r="GG111">
            <v>0</v>
          </cell>
          <cell r="GH111" t="str">
            <v>nd</v>
          </cell>
          <cell r="GI111">
            <v>0.29814499999999999</v>
          </cell>
          <cell r="GJ111">
            <v>2.02752</v>
          </cell>
          <cell r="GK111">
            <v>3.4497100000000005</v>
          </cell>
          <cell r="GL111" t="str">
            <v>nd</v>
          </cell>
          <cell r="GM111" t="str">
            <v>nd</v>
          </cell>
          <cell r="GN111">
            <v>0.53054799999999991</v>
          </cell>
          <cell r="GO111">
            <v>0.98578999999999994</v>
          </cell>
          <cell r="GP111">
            <v>19.471752800000001</v>
          </cell>
          <cell r="GQ111">
            <v>13.109394999999999</v>
          </cell>
          <cell r="GR111" t="str">
            <v>nd</v>
          </cell>
          <cell r="GS111">
            <v>0</v>
          </cell>
          <cell r="GT111">
            <v>0</v>
          </cell>
          <cell r="GU111">
            <v>0.63912400000000003</v>
          </cell>
          <cell r="GV111">
            <v>12.8210411</v>
          </cell>
          <cell r="GW111">
            <v>31.973495499999999</v>
          </cell>
          <cell r="GX111">
            <v>0</v>
          </cell>
          <cell r="GY111">
            <v>0</v>
          </cell>
          <cell r="GZ111">
            <v>0</v>
          </cell>
          <cell r="HA111">
            <v>0</v>
          </cell>
          <cell r="HB111">
            <v>5.3831700000000007</v>
          </cell>
          <cell r="HC111">
            <v>8.136035699999999</v>
          </cell>
          <cell r="HD111">
            <v>0</v>
          </cell>
          <cell r="HE111">
            <v>0.342503</v>
          </cell>
          <cell r="HF111">
            <v>0</v>
          </cell>
          <cell r="HG111">
            <v>0</v>
          </cell>
          <cell r="HH111" t="str">
            <v>nd</v>
          </cell>
          <cell r="HI111">
            <v>0</v>
          </cell>
          <cell r="HJ111">
            <v>0</v>
          </cell>
          <cell r="HK111">
            <v>0</v>
          </cell>
          <cell r="HL111">
            <v>1.90571</v>
          </cell>
          <cell r="HM111">
            <v>3.28349</v>
          </cell>
          <cell r="HN111">
            <v>0.65106299999999995</v>
          </cell>
          <cell r="HO111">
            <v>0</v>
          </cell>
          <cell r="HP111">
            <v>0</v>
          </cell>
          <cell r="HQ111" t="str">
            <v>nd</v>
          </cell>
          <cell r="HR111">
            <v>8.5797199000000006</v>
          </cell>
          <cell r="HS111">
            <v>22.429639900000002</v>
          </cell>
          <cell r="HT111">
            <v>2.6256699999999999</v>
          </cell>
          <cell r="HU111">
            <v>0</v>
          </cell>
          <cell r="HV111">
            <v>0</v>
          </cell>
          <cell r="HW111">
            <v>0.69164800000000004</v>
          </cell>
          <cell r="HX111">
            <v>10.4298269</v>
          </cell>
          <cell r="HY111">
            <v>30.158216599999999</v>
          </cell>
          <cell r="HZ111">
            <v>5.7144300000000001</v>
          </cell>
          <cell r="IA111">
            <v>0</v>
          </cell>
          <cell r="IB111">
            <v>0</v>
          </cell>
          <cell r="IC111">
            <v>0</v>
          </cell>
          <cell r="ID111">
            <v>2.6245500000000002</v>
          </cell>
          <cell r="IE111">
            <v>8.9717120000000001</v>
          </cell>
          <cell r="IF111">
            <v>0.89347999999999994</v>
          </cell>
          <cell r="IG111">
            <v>0</v>
          </cell>
          <cell r="IH111">
            <v>0.250226</v>
          </cell>
          <cell r="II111">
            <v>0</v>
          </cell>
          <cell r="IJ111">
            <v>0</v>
          </cell>
          <cell r="IK111" t="str">
            <v>nd</v>
          </cell>
          <cell r="IL111">
            <v>0</v>
          </cell>
          <cell r="IM111">
            <v>0</v>
          </cell>
          <cell r="IN111">
            <v>0</v>
          </cell>
          <cell r="IO111">
            <v>1.0370200000000001</v>
          </cell>
          <cell r="IP111">
            <v>3.2504300000000002</v>
          </cell>
          <cell r="IQ111">
            <v>1.6439599999999999</v>
          </cell>
          <cell r="IR111" t="str">
            <v>nd</v>
          </cell>
          <cell r="IS111">
            <v>0</v>
          </cell>
          <cell r="IT111">
            <v>0.57386700000000002</v>
          </cell>
          <cell r="IU111">
            <v>3.1978800000000001</v>
          </cell>
          <cell r="IV111">
            <v>23.507952500000002</v>
          </cell>
          <cell r="IW111">
            <v>6.8772557999999995</v>
          </cell>
          <cell r="IX111" t="str">
            <v>nd</v>
          </cell>
          <cell r="IY111" t="str">
            <v>nd</v>
          </cell>
          <cell r="IZ111" t="str">
            <v>nd</v>
          </cell>
          <cell r="JA111">
            <v>7.5053483000000005</v>
          </cell>
          <cell r="JB111">
            <v>32.052866800000004</v>
          </cell>
          <cell r="JC111">
            <v>6.8355258000000001</v>
          </cell>
          <cell r="JD111">
            <v>0</v>
          </cell>
          <cell r="JE111">
            <v>0</v>
          </cell>
          <cell r="JF111">
            <v>0</v>
          </cell>
          <cell r="JG111">
            <v>2.9414400000000001</v>
          </cell>
          <cell r="JH111">
            <v>8.3977807000000002</v>
          </cell>
          <cell r="JI111">
            <v>1.3053199999999998</v>
          </cell>
          <cell r="JJ111">
            <v>0</v>
          </cell>
          <cell r="JK111">
            <v>0</v>
          </cell>
          <cell r="JL111">
            <v>0</v>
          </cell>
          <cell r="JM111">
            <v>0</v>
          </cell>
          <cell r="JN111">
            <v>0.40882499999999999</v>
          </cell>
          <cell r="JO111">
            <v>0</v>
          </cell>
          <cell r="JP111">
            <v>0</v>
          </cell>
          <cell r="JQ111">
            <v>0</v>
          </cell>
          <cell r="JR111">
            <v>0</v>
          </cell>
          <cell r="JS111">
            <v>0</v>
          </cell>
          <cell r="JT111">
            <v>5.9208100000000004</v>
          </cell>
          <cell r="JU111">
            <v>0</v>
          </cell>
          <cell r="JV111">
            <v>0</v>
          </cell>
          <cell r="JW111">
            <v>0</v>
          </cell>
          <cell r="JX111">
            <v>0</v>
          </cell>
          <cell r="JY111" t="str">
            <v>nd</v>
          </cell>
          <cell r="JZ111">
            <v>34.193252999999999</v>
          </cell>
          <cell r="KA111">
            <v>0</v>
          </cell>
          <cell r="KB111">
            <v>0</v>
          </cell>
          <cell r="KC111">
            <v>0</v>
          </cell>
          <cell r="KD111">
            <v>0</v>
          </cell>
          <cell r="KE111" t="str">
            <v>nd</v>
          </cell>
          <cell r="KF111">
            <v>46.117057900000006</v>
          </cell>
          <cell r="KG111">
            <v>0</v>
          </cell>
          <cell r="KH111">
            <v>0</v>
          </cell>
          <cell r="KI111">
            <v>0</v>
          </cell>
          <cell r="KJ111">
            <v>0</v>
          </cell>
          <cell r="KK111">
            <v>0</v>
          </cell>
          <cell r="KL111">
            <v>13.214411</v>
          </cell>
          <cell r="KM111">
            <v>75</v>
          </cell>
          <cell r="KN111">
            <v>7.3999999999999995</v>
          </cell>
          <cell r="KO111">
            <v>3</v>
          </cell>
          <cell r="KP111">
            <v>8.1</v>
          </cell>
          <cell r="KQ111">
            <v>6.4</v>
          </cell>
          <cell r="KR111">
            <v>0</v>
          </cell>
          <cell r="KS111">
            <v>72.899999999999991</v>
          </cell>
          <cell r="KT111">
            <v>7.7</v>
          </cell>
          <cell r="KU111">
            <v>3</v>
          </cell>
          <cell r="KV111">
            <v>9.3000000000000007</v>
          </cell>
          <cell r="KW111">
            <v>7.1</v>
          </cell>
          <cell r="KX111">
            <v>0</v>
          </cell>
          <cell r="KY111"/>
          <cell r="KZ111"/>
          <cell r="LA111"/>
          <cell r="LB111"/>
          <cell r="LC111"/>
          <cell r="LD111"/>
          <cell r="LE111"/>
          <cell r="LF111"/>
          <cell r="LG111"/>
          <cell r="LH111"/>
          <cell r="LI111"/>
          <cell r="LJ111"/>
          <cell r="LK111"/>
          <cell r="LL111"/>
          <cell r="LM111"/>
          <cell r="LN111"/>
          <cell r="LO111"/>
        </row>
        <row r="112">
          <cell r="A112" t="str">
            <v>EnsRU</v>
          </cell>
          <cell r="B112" t="str">
            <v>112</v>
          </cell>
          <cell r="C112" t="str">
            <v>NAF 17</v>
          </cell>
          <cell r="D112" t="str">
            <v>RU</v>
          </cell>
          <cell r="E112" t="str">
            <v/>
          </cell>
          <cell r="F112">
            <v>8.3000000000000007</v>
          </cell>
          <cell r="G112">
            <v>23.400000000000002</v>
          </cell>
          <cell r="H112">
            <v>27.200000000000003</v>
          </cell>
          <cell r="I112">
            <v>35</v>
          </cell>
          <cell r="J112">
            <v>6</v>
          </cell>
          <cell r="K112">
            <v>32.9</v>
          </cell>
          <cell r="L112">
            <v>53.6</v>
          </cell>
          <cell r="M112">
            <v>1.7000000000000002</v>
          </cell>
          <cell r="N112">
            <v>11.799999999999999</v>
          </cell>
          <cell r="O112">
            <v>33</v>
          </cell>
          <cell r="P112">
            <v>34.4</v>
          </cell>
          <cell r="Q112">
            <v>5.0999999999999996</v>
          </cell>
          <cell r="R112">
            <v>6.9</v>
          </cell>
          <cell r="S112">
            <v>13.200000000000001</v>
          </cell>
          <cell r="T112">
            <v>23.9</v>
          </cell>
          <cell r="U112">
            <v>22.900000000000002</v>
          </cell>
          <cell r="V112">
            <v>25</v>
          </cell>
          <cell r="W112">
            <v>16.3</v>
          </cell>
          <cell r="X112">
            <v>80.800000000000011</v>
          </cell>
          <cell r="Y112">
            <v>2.8000000000000003</v>
          </cell>
          <cell r="Z112" t="str">
            <v>nd</v>
          </cell>
          <cell r="AA112">
            <v>45.300000000000004</v>
          </cell>
          <cell r="AB112">
            <v>6.3</v>
          </cell>
          <cell r="AC112">
            <v>64.2</v>
          </cell>
          <cell r="AD112">
            <v>20.8</v>
          </cell>
          <cell r="AE112">
            <v>63.5</v>
          </cell>
          <cell r="AF112">
            <v>36.5</v>
          </cell>
          <cell r="AG112">
            <v>54.800000000000004</v>
          </cell>
          <cell r="AH112">
            <v>45.2</v>
          </cell>
          <cell r="AI112">
            <v>19.600000000000001</v>
          </cell>
          <cell r="AJ112">
            <v>43.7</v>
          </cell>
          <cell r="AK112">
            <v>3.5999999999999996</v>
          </cell>
          <cell r="AL112">
            <v>26.400000000000002</v>
          </cell>
          <cell r="AM112">
            <v>6.6000000000000005</v>
          </cell>
          <cell r="AN112">
            <v>6.7</v>
          </cell>
          <cell r="AO112">
            <v>4.2</v>
          </cell>
          <cell r="AP112">
            <v>2.1</v>
          </cell>
          <cell r="AQ112">
            <v>83</v>
          </cell>
          <cell r="AR112">
            <v>4</v>
          </cell>
          <cell r="AS112">
            <v>50.1</v>
          </cell>
          <cell r="AT112">
            <v>16.600000000000001</v>
          </cell>
          <cell r="AU112">
            <v>8.3000000000000007</v>
          </cell>
          <cell r="AV112">
            <v>9.1</v>
          </cell>
          <cell r="AW112">
            <v>9.1</v>
          </cell>
          <cell r="AX112">
            <v>6.8000000000000007</v>
          </cell>
          <cell r="AY112">
            <v>7.5</v>
          </cell>
          <cell r="AZ112">
            <v>7.3</v>
          </cell>
          <cell r="BA112">
            <v>7.1999999999999993</v>
          </cell>
          <cell r="BB112">
            <v>10.4</v>
          </cell>
          <cell r="BC112">
            <v>29.299999999999997</v>
          </cell>
          <cell r="BD112">
            <v>38.299999999999997</v>
          </cell>
          <cell r="BE112">
            <v>6.2</v>
          </cell>
          <cell r="BF112">
            <v>4.3</v>
          </cell>
          <cell r="BG112">
            <v>6.5</v>
          </cell>
          <cell r="BH112">
            <v>7.3</v>
          </cell>
          <cell r="BI112">
            <v>23.599999999999998</v>
          </cell>
          <cell r="BJ112">
            <v>52.1</v>
          </cell>
          <cell r="BK112">
            <v>0</v>
          </cell>
          <cell r="BL112">
            <v>0</v>
          </cell>
          <cell r="BM112" t="str">
            <v>nd</v>
          </cell>
          <cell r="BN112">
            <v>5.3</v>
          </cell>
          <cell r="BO112">
            <v>54.2</v>
          </cell>
          <cell r="BP112">
            <v>40.300000000000004</v>
          </cell>
          <cell r="BQ112" t="str">
            <v>nd</v>
          </cell>
          <cell r="BR112">
            <v>0.3</v>
          </cell>
          <cell r="BS112">
            <v>0.8</v>
          </cell>
          <cell r="BT112">
            <v>7.0000000000000009</v>
          </cell>
          <cell r="BU112">
            <v>49.4</v>
          </cell>
          <cell r="BV112">
            <v>42.1</v>
          </cell>
          <cell r="BW112">
            <v>0</v>
          </cell>
          <cell r="BX112">
            <v>0</v>
          </cell>
          <cell r="BY112">
            <v>0</v>
          </cell>
          <cell r="BZ112" t="str">
            <v>nd</v>
          </cell>
          <cell r="CA112">
            <v>0.4</v>
          </cell>
          <cell r="CB112">
            <v>99.5</v>
          </cell>
          <cell r="CC112">
            <v>6.4</v>
          </cell>
          <cell r="CD112">
            <v>9</v>
          </cell>
          <cell r="CE112">
            <v>1.0999999999999999</v>
          </cell>
          <cell r="CF112">
            <v>1.9</v>
          </cell>
          <cell r="CG112" t="str">
            <v>nd</v>
          </cell>
          <cell r="CH112">
            <v>18.3</v>
          </cell>
          <cell r="CI112">
            <v>9.3000000000000007</v>
          </cell>
          <cell r="CJ112">
            <v>71</v>
          </cell>
          <cell r="CK112">
            <v>23.1</v>
          </cell>
          <cell r="CL112">
            <v>3.2</v>
          </cell>
          <cell r="CM112">
            <v>1.6</v>
          </cell>
          <cell r="CN112">
            <v>0.70000000000000007</v>
          </cell>
          <cell r="CO112">
            <v>75.099999999999994</v>
          </cell>
          <cell r="CP112">
            <v>24.6</v>
          </cell>
          <cell r="CQ112">
            <v>22.7</v>
          </cell>
          <cell r="CR112">
            <v>16.3</v>
          </cell>
          <cell r="CS112">
            <v>36.299999999999997</v>
          </cell>
          <cell r="CT112">
            <v>43.7</v>
          </cell>
          <cell r="CU112">
            <v>56.3</v>
          </cell>
          <cell r="CV112">
            <v>25.5</v>
          </cell>
          <cell r="CW112">
            <v>74.5</v>
          </cell>
          <cell r="CX112">
            <v>22.2</v>
          </cell>
          <cell r="CY112">
            <v>11.200000000000001</v>
          </cell>
          <cell r="CZ112">
            <v>66.600000000000009</v>
          </cell>
          <cell r="DA112">
            <v>25.7</v>
          </cell>
          <cell r="DB112">
            <v>2.7</v>
          </cell>
          <cell r="DC112">
            <v>4.3</v>
          </cell>
          <cell r="DD112" t="str">
            <v>nd</v>
          </cell>
          <cell r="DE112">
            <v>73.8</v>
          </cell>
          <cell r="DF112">
            <v>14.799999999999999</v>
          </cell>
          <cell r="DG112">
            <v>11.899999999999999</v>
          </cell>
          <cell r="DH112">
            <v>20.9</v>
          </cell>
          <cell r="DI112">
            <v>15.6</v>
          </cell>
          <cell r="DJ112">
            <v>17</v>
          </cell>
          <cell r="DK112">
            <v>19.8</v>
          </cell>
          <cell r="DL112">
            <v>17.599999999999998</v>
          </cell>
          <cell r="DM112">
            <v>25.8</v>
          </cell>
          <cell r="DN112">
            <v>6.9</v>
          </cell>
          <cell r="DO112">
            <v>45.800000000000004</v>
          </cell>
          <cell r="DP112">
            <v>9</v>
          </cell>
          <cell r="DQ112">
            <v>3.1</v>
          </cell>
          <cell r="DR112">
            <v>3.1</v>
          </cell>
          <cell r="DS112">
            <v>14.299999999999999</v>
          </cell>
          <cell r="DT112">
            <v>25.8</v>
          </cell>
          <cell r="DU112">
            <v>1.5197799999999999</v>
          </cell>
          <cell r="DV112">
            <v>2.1203599999999998</v>
          </cell>
          <cell r="DW112">
            <v>0.74555100000000007</v>
          </cell>
          <cell r="DX112">
            <v>0.79720000000000002</v>
          </cell>
          <cell r="DY112">
            <v>1.9482699999999999</v>
          </cell>
          <cell r="DZ112">
            <v>7.6525571000000001</v>
          </cell>
          <cell r="EA112">
            <v>3.8712999999999997</v>
          </cell>
          <cell r="EB112">
            <v>4.16045</v>
          </cell>
          <cell r="EC112">
            <v>3.68675</v>
          </cell>
          <cell r="ED112">
            <v>1.86626</v>
          </cell>
          <cell r="EE112">
            <v>2.0128699999999999</v>
          </cell>
          <cell r="EF112">
            <v>15.451047300000001</v>
          </cell>
          <cell r="EG112">
            <v>6.8732847999999995</v>
          </cell>
          <cell r="EH112">
            <v>1.3953</v>
          </cell>
          <cell r="EI112">
            <v>2.1623700000000001</v>
          </cell>
          <cell r="EJ112">
            <v>1.64392</v>
          </cell>
          <cell r="EK112">
            <v>0.91383999999999999</v>
          </cell>
          <cell r="EL112">
            <v>20.683232</v>
          </cell>
          <cell r="EM112">
            <v>5.0709</v>
          </cell>
          <cell r="EN112">
            <v>1.9192399999999998</v>
          </cell>
          <cell r="EO112">
            <v>2.0078300000000002</v>
          </cell>
          <cell r="EP112">
            <v>3.2031499999999999</v>
          </cell>
          <cell r="EQ112">
            <v>1.6562299999999999</v>
          </cell>
          <cell r="ER112">
            <v>4.7428800000000004</v>
          </cell>
          <cell r="ES112">
            <v>0.35195100000000001</v>
          </cell>
          <cell r="ET112" t="str">
            <v>nd</v>
          </cell>
          <cell r="EU112" t="str">
            <v>nd</v>
          </cell>
          <cell r="EV112" t="str">
            <v>nd</v>
          </cell>
          <cell r="EW112" t="str">
            <v>nd</v>
          </cell>
          <cell r="EX112">
            <v>0.47884299999999996</v>
          </cell>
          <cell r="EY112">
            <v>2.6393499999999999</v>
          </cell>
          <cell r="EZ112">
            <v>0</v>
          </cell>
          <cell r="FA112">
            <v>0.98138999999999998</v>
          </cell>
          <cell r="FB112">
            <v>3.3550400000000002</v>
          </cell>
          <cell r="FC112">
            <v>1.38442</v>
          </cell>
          <cell r="FD112">
            <v>1.6711</v>
          </cell>
          <cell r="FE112">
            <v>1.90099</v>
          </cell>
          <cell r="FF112">
            <v>2.2589299999999999</v>
          </cell>
          <cell r="FG112">
            <v>8.1867160999999999</v>
          </cell>
          <cell r="FH112">
            <v>8.0019318000000013</v>
          </cell>
          <cell r="FI112">
            <v>1.50911</v>
          </cell>
          <cell r="FJ112">
            <v>1.5925000000000002</v>
          </cell>
          <cell r="FK112">
            <v>1.4741300000000002</v>
          </cell>
          <cell r="FL112">
            <v>3.4233699999999998</v>
          </cell>
          <cell r="FM112">
            <v>9.3269650999999989</v>
          </cell>
          <cell r="FN112">
            <v>11.276195899999999</v>
          </cell>
          <cell r="FO112">
            <v>3.9957100000000003</v>
          </cell>
          <cell r="FP112">
            <v>3.4395199999999999</v>
          </cell>
          <cell r="FQ112">
            <v>3.4445299999999999</v>
          </cell>
          <cell r="FR112">
            <v>3.3563200000000002</v>
          </cell>
          <cell r="FS112">
            <v>7.6438394000000009</v>
          </cell>
          <cell r="FT112">
            <v>12.600068800000001</v>
          </cell>
          <cell r="FU112" t="str">
            <v>nd</v>
          </cell>
          <cell r="FV112" t="str">
            <v>nd</v>
          </cell>
          <cell r="FW112">
            <v>0.40997999999999996</v>
          </cell>
          <cell r="FX112">
            <v>0.35234399999999999</v>
          </cell>
          <cell r="FY112">
            <v>1.4738499999999999</v>
          </cell>
          <cell r="FZ112">
            <v>3.0606100000000001</v>
          </cell>
          <cell r="GA112">
            <v>2.6820500000000003</v>
          </cell>
          <cell r="GB112">
            <v>1.3966499999999999</v>
          </cell>
          <cell r="GC112">
            <v>0.51245199999999991</v>
          </cell>
          <cell r="GD112">
            <v>0.53045799999999999</v>
          </cell>
          <cell r="GE112">
            <v>2.0977600000000001</v>
          </cell>
          <cell r="GF112">
            <v>2.38165</v>
          </cell>
          <cell r="GG112">
            <v>2.63028</v>
          </cell>
          <cell r="GH112">
            <v>2.59294</v>
          </cell>
          <cell r="GI112">
            <v>2.6926200000000002</v>
          </cell>
          <cell r="GJ112">
            <v>6.3981570999999997</v>
          </cell>
          <cell r="GK112">
            <v>6.7781483000000007</v>
          </cell>
          <cell r="GL112" t="str">
            <v>nd</v>
          </cell>
          <cell r="GM112" t="str">
            <v>nd</v>
          </cell>
          <cell r="GN112">
            <v>3.2546400000000002</v>
          </cell>
          <cell r="GO112">
            <v>2.74553</v>
          </cell>
          <cell r="GP112">
            <v>7.6097909000000001</v>
          </cell>
          <cell r="GQ112">
            <v>13.6740934</v>
          </cell>
          <cell r="GR112" t="str">
            <v>nd</v>
          </cell>
          <cell r="GS112" t="str">
            <v>nd</v>
          </cell>
          <cell r="GT112" t="str">
            <v>nd</v>
          </cell>
          <cell r="GU112">
            <v>0.76267300000000005</v>
          </cell>
          <cell r="GV112">
            <v>6.9363022999999995</v>
          </cell>
          <cell r="GW112">
            <v>26.055337499999997</v>
          </cell>
          <cell r="GX112">
            <v>0</v>
          </cell>
          <cell r="GY112" t="str">
            <v>nd</v>
          </cell>
          <cell r="GZ112">
            <v>0</v>
          </cell>
          <cell r="HA112">
            <v>0.58972999999999998</v>
          </cell>
          <cell r="HB112">
            <v>1.2536399999999999</v>
          </cell>
          <cell r="HC112">
            <v>3.5326999999999997</v>
          </cell>
          <cell r="HD112">
            <v>0</v>
          </cell>
          <cell r="HE112">
            <v>2.4996499999999999</v>
          </cell>
          <cell r="HF112">
            <v>0</v>
          </cell>
          <cell r="HG112" t="str">
            <v>nd</v>
          </cell>
          <cell r="HH112">
            <v>5.1184199999999995</v>
          </cell>
          <cell r="HI112">
            <v>0</v>
          </cell>
          <cell r="HJ112">
            <v>0</v>
          </cell>
          <cell r="HK112" t="str">
            <v>nd</v>
          </cell>
          <cell r="HL112">
            <v>0.69417099999999998</v>
          </cell>
          <cell r="HM112">
            <v>11.676274000000001</v>
          </cell>
          <cell r="HN112">
            <v>10.7791347</v>
          </cell>
          <cell r="HO112">
            <v>0</v>
          </cell>
          <cell r="HP112">
            <v>0</v>
          </cell>
          <cell r="HQ112">
            <v>0</v>
          </cell>
          <cell r="HR112">
            <v>2.18954</v>
          </cell>
          <cell r="HS112">
            <v>17.1410415</v>
          </cell>
          <cell r="HT112">
            <v>8.9679573000000001</v>
          </cell>
          <cell r="HU112">
            <v>0</v>
          </cell>
          <cell r="HV112">
            <v>0</v>
          </cell>
          <cell r="HW112">
            <v>0</v>
          </cell>
          <cell r="HX112">
            <v>1.7743600000000002</v>
          </cell>
          <cell r="HY112">
            <v>19.229697000000002</v>
          </cell>
          <cell r="HZ112">
            <v>13.5143746</v>
          </cell>
          <cell r="IA112">
            <v>0</v>
          </cell>
          <cell r="IB112">
            <v>0</v>
          </cell>
          <cell r="IC112">
            <v>0</v>
          </cell>
          <cell r="ID112">
            <v>0.54083700000000001</v>
          </cell>
          <cell r="IE112">
            <v>3.6777099999999998</v>
          </cell>
          <cell r="IF112">
            <v>1.9846300000000001</v>
          </cell>
          <cell r="IG112" t="str">
            <v>nd</v>
          </cell>
          <cell r="IH112">
            <v>1.4080999999999999</v>
          </cell>
          <cell r="II112">
            <v>0.23079</v>
          </cell>
          <cell r="IJ112">
            <v>0.63345800000000008</v>
          </cell>
          <cell r="IK112">
            <v>5.11944</v>
          </cell>
          <cell r="IL112">
            <v>0</v>
          </cell>
          <cell r="IM112" t="str">
            <v>nd</v>
          </cell>
          <cell r="IN112">
            <v>0.57576899999999998</v>
          </cell>
          <cell r="IO112">
            <v>2.0615299999999999</v>
          </cell>
          <cell r="IP112">
            <v>10.9884659</v>
          </cell>
          <cell r="IQ112">
            <v>9.4236348999999997</v>
          </cell>
          <cell r="IR112">
            <v>0</v>
          </cell>
          <cell r="IS112" t="str">
            <v>nd</v>
          </cell>
          <cell r="IT112">
            <v>0</v>
          </cell>
          <cell r="IU112">
            <v>1.7623300000000002</v>
          </cell>
          <cell r="IV112">
            <v>14.105201900000001</v>
          </cell>
          <cell r="IW112">
            <v>12.517792499999999</v>
          </cell>
          <cell r="IX112">
            <v>0</v>
          </cell>
          <cell r="IY112" t="str">
            <v>nd</v>
          </cell>
          <cell r="IZ112" t="str">
            <v>nd</v>
          </cell>
          <cell r="JA112">
            <v>2.2293699999999999</v>
          </cell>
          <cell r="JB112">
            <v>20.099174600000001</v>
          </cell>
          <cell r="JC112">
            <v>12.286660600000001</v>
          </cell>
          <cell r="JD112">
            <v>0</v>
          </cell>
          <cell r="JE112">
            <v>0</v>
          </cell>
          <cell r="JF112">
            <v>0</v>
          </cell>
          <cell r="JG112">
            <v>0.34229599999999999</v>
          </cell>
          <cell r="JH112">
            <v>2.7643200000000001</v>
          </cell>
          <cell r="JI112">
            <v>2.8154699999999999</v>
          </cell>
          <cell r="JJ112">
            <v>0</v>
          </cell>
          <cell r="JK112">
            <v>0</v>
          </cell>
          <cell r="JL112">
            <v>0</v>
          </cell>
          <cell r="JM112">
            <v>0</v>
          </cell>
          <cell r="JN112">
            <v>7.6392134</v>
          </cell>
          <cell r="JO112">
            <v>0</v>
          </cell>
          <cell r="JP112">
            <v>0</v>
          </cell>
          <cell r="JQ112">
            <v>0</v>
          </cell>
          <cell r="JR112">
            <v>0</v>
          </cell>
          <cell r="JS112">
            <v>0.27764</v>
          </cell>
          <cell r="JT112">
            <v>22.517164000000001</v>
          </cell>
          <cell r="JU112">
            <v>0</v>
          </cell>
          <cell r="JV112">
            <v>0</v>
          </cell>
          <cell r="JW112">
            <v>0</v>
          </cell>
          <cell r="JX112">
            <v>0</v>
          </cell>
          <cell r="JY112">
            <v>0</v>
          </cell>
          <cell r="JZ112">
            <v>28.938383299999998</v>
          </cell>
          <cell r="KA112">
            <v>0</v>
          </cell>
          <cell r="KB112">
            <v>0</v>
          </cell>
          <cell r="KC112">
            <v>0</v>
          </cell>
          <cell r="KD112" t="str">
            <v>nd</v>
          </cell>
          <cell r="KE112" t="str">
            <v>nd</v>
          </cell>
          <cell r="KF112">
            <v>34.756129600000001</v>
          </cell>
          <cell r="KG112">
            <v>0</v>
          </cell>
          <cell r="KH112">
            <v>0</v>
          </cell>
          <cell r="KI112">
            <v>0</v>
          </cell>
          <cell r="KJ112">
            <v>0</v>
          </cell>
          <cell r="KK112" t="str">
            <v>nd</v>
          </cell>
          <cell r="KL112">
            <v>5.6927199999999996</v>
          </cell>
          <cell r="KM112">
            <v>59.9</v>
          </cell>
          <cell r="KN112">
            <v>17.5</v>
          </cell>
          <cell r="KO112">
            <v>14.000000000000002</v>
          </cell>
          <cell r="KP112">
            <v>4.1000000000000005</v>
          </cell>
          <cell r="KQ112">
            <v>4.5</v>
          </cell>
          <cell r="KR112">
            <v>0</v>
          </cell>
          <cell r="KS112">
            <v>59.3</v>
          </cell>
          <cell r="KT112">
            <v>17.399999999999999</v>
          </cell>
          <cell r="KU112">
            <v>14.000000000000002</v>
          </cell>
          <cell r="KV112">
            <v>4.3999999999999995</v>
          </cell>
          <cell r="KW112">
            <v>4.8</v>
          </cell>
          <cell r="KX112">
            <v>0</v>
          </cell>
          <cell r="KY112"/>
          <cell r="KZ112"/>
          <cell r="LA112"/>
          <cell r="LB112"/>
          <cell r="LC112"/>
          <cell r="LD112"/>
          <cell r="LE112"/>
          <cell r="LF112"/>
          <cell r="LG112"/>
          <cell r="LH112"/>
          <cell r="LI112"/>
          <cell r="LJ112"/>
          <cell r="LK112"/>
          <cell r="LL112"/>
          <cell r="LM112"/>
          <cell r="LN112"/>
          <cell r="LO112"/>
        </row>
        <row r="113">
          <cell r="A113" t="str">
            <v>1RU</v>
          </cell>
          <cell r="B113" t="str">
            <v>113</v>
          </cell>
          <cell r="C113" t="str">
            <v>NAF 17</v>
          </cell>
          <cell r="D113" t="str">
            <v>RU</v>
          </cell>
          <cell r="E113" t="str">
            <v>1</v>
          </cell>
          <cell r="F113">
            <v>9</v>
          </cell>
          <cell r="G113">
            <v>25.4</v>
          </cell>
          <cell r="H113">
            <v>19.5</v>
          </cell>
          <cell r="I113">
            <v>37.799999999999997</v>
          </cell>
          <cell r="J113">
            <v>8.3000000000000007</v>
          </cell>
          <cell r="K113">
            <v>37</v>
          </cell>
          <cell r="L113">
            <v>57.9</v>
          </cell>
          <cell r="M113" t="str">
            <v>nd</v>
          </cell>
          <cell r="N113">
            <v>4.8</v>
          </cell>
          <cell r="O113">
            <v>29.7</v>
          </cell>
          <cell r="P113">
            <v>27.400000000000002</v>
          </cell>
          <cell r="Q113">
            <v>6.9</v>
          </cell>
          <cell r="R113">
            <v>9.1999999999999993</v>
          </cell>
          <cell r="S113">
            <v>8.5</v>
          </cell>
          <cell r="T113">
            <v>28.199999999999996</v>
          </cell>
          <cell r="U113">
            <v>23</v>
          </cell>
          <cell r="V113">
            <v>22.8</v>
          </cell>
          <cell r="W113">
            <v>6.2</v>
          </cell>
          <cell r="X113">
            <v>90.600000000000009</v>
          </cell>
          <cell r="Y113">
            <v>3.2</v>
          </cell>
          <cell r="Z113">
            <v>0</v>
          </cell>
          <cell r="AA113">
            <v>18.5</v>
          </cell>
          <cell r="AB113">
            <v>0</v>
          </cell>
          <cell r="AC113">
            <v>66.7</v>
          </cell>
          <cell r="AD113">
            <v>27.800000000000004</v>
          </cell>
          <cell r="AE113">
            <v>50.3</v>
          </cell>
          <cell r="AF113">
            <v>49.7</v>
          </cell>
          <cell r="AG113">
            <v>36.299999999999997</v>
          </cell>
          <cell r="AH113">
            <v>63.7</v>
          </cell>
          <cell r="AI113">
            <v>17.7</v>
          </cell>
          <cell r="AJ113">
            <v>46.300000000000004</v>
          </cell>
          <cell r="AK113">
            <v>4</v>
          </cell>
          <cell r="AL113">
            <v>24.5</v>
          </cell>
          <cell r="AM113">
            <v>7.6</v>
          </cell>
          <cell r="AN113">
            <v>1</v>
          </cell>
          <cell r="AO113" t="str">
            <v>nd</v>
          </cell>
          <cell r="AP113" t="str">
            <v>nd</v>
          </cell>
          <cell r="AQ113">
            <v>95.399999999999991</v>
          </cell>
          <cell r="AR113">
            <v>1.7999999999999998</v>
          </cell>
          <cell r="AS113">
            <v>61.4</v>
          </cell>
          <cell r="AT113">
            <v>8.9</v>
          </cell>
          <cell r="AU113">
            <v>7.1</v>
          </cell>
          <cell r="AV113">
            <v>5.6000000000000005</v>
          </cell>
          <cell r="AW113">
            <v>5.2</v>
          </cell>
          <cell r="AX113">
            <v>11.899999999999999</v>
          </cell>
          <cell r="AY113">
            <v>8.4</v>
          </cell>
          <cell r="AZ113">
            <v>4.5</v>
          </cell>
          <cell r="BA113">
            <v>4.5</v>
          </cell>
          <cell r="BB113">
            <v>8.6999999999999993</v>
          </cell>
          <cell r="BC113">
            <v>13.600000000000001</v>
          </cell>
          <cell r="BD113">
            <v>60.099999999999994</v>
          </cell>
          <cell r="BE113">
            <v>12.9</v>
          </cell>
          <cell r="BF113">
            <v>3.9</v>
          </cell>
          <cell r="BG113">
            <v>2.1999999999999997</v>
          </cell>
          <cell r="BH113">
            <v>6.1</v>
          </cell>
          <cell r="BI113">
            <v>9</v>
          </cell>
          <cell r="BJ113">
            <v>65.900000000000006</v>
          </cell>
          <cell r="BK113">
            <v>0</v>
          </cell>
          <cell r="BL113">
            <v>0</v>
          </cell>
          <cell r="BM113" t="str">
            <v>nd</v>
          </cell>
          <cell r="BN113">
            <v>1.0999999999999999</v>
          </cell>
          <cell r="BO113">
            <v>26.400000000000002</v>
          </cell>
          <cell r="BP113">
            <v>72.2</v>
          </cell>
          <cell r="BQ113" t="str">
            <v>nd</v>
          </cell>
          <cell r="BR113" t="str">
            <v>nd</v>
          </cell>
          <cell r="BS113" t="str">
            <v>nd</v>
          </cell>
          <cell r="BT113">
            <v>3.3000000000000003</v>
          </cell>
          <cell r="BU113">
            <v>21.099999999999998</v>
          </cell>
          <cell r="BV113">
            <v>74.099999999999994</v>
          </cell>
          <cell r="BW113">
            <v>0</v>
          </cell>
          <cell r="BX113">
            <v>0</v>
          </cell>
          <cell r="BY113">
            <v>0</v>
          </cell>
          <cell r="BZ113">
            <v>0</v>
          </cell>
          <cell r="CA113" t="str">
            <v>nd</v>
          </cell>
          <cell r="CB113">
            <v>99.8</v>
          </cell>
          <cell r="CC113">
            <v>4.7</v>
          </cell>
          <cell r="CD113">
            <v>8.7999999999999989</v>
          </cell>
          <cell r="CE113" t="str">
            <v>nd</v>
          </cell>
          <cell r="CF113" t="str">
            <v>nd</v>
          </cell>
          <cell r="CG113" t="str">
            <v>nd</v>
          </cell>
          <cell r="CH113">
            <v>19.100000000000001</v>
          </cell>
          <cell r="CI113">
            <v>11.3</v>
          </cell>
          <cell r="CJ113">
            <v>69.5</v>
          </cell>
          <cell r="CK113">
            <v>18.7</v>
          </cell>
          <cell r="CL113">
            <v>0.5</v>
          </cell>
          <cell r="CM113">
            <v>0.70000000000000007</v>
          </cell>
          <cell r="CN113" t="str">
            <v>nd</v>
          </cell>
          <cell r="CO113">
            <v>80</v>
          </cell>
          <cell r="CP113">
            <v>33.800000000000004</v>
          </cell>
          <cell r="CQ113">
            <v>15.7</v>
          </cell>
          <cell r="CR113">
            <v>13.5</v>
          </cell>
          <cell r="CS113">
            <v>37</v>
          </cell>
          <cell r="CT113">
            <v>42.3</v>
          </cell>
          <cell r="CU113">
            <v>57.699999999999996</v>
          </cell>
          <cell r="CV113">
            <v>22.1</v>
          </cell>
          <cell r="CW113">
            <v>77.900000000000006</v>
          </cell>
          <cell r="CX113">
            <v>20.8</v>
          </cell>
          <cell r="CY113">
            <v>8.1</v>
          </cell>
          <cell r="CZ113">
            <v>71</v>
          </cell>
          <cell r="DA113">
            <v>14.799999999999999</v>
          </cell>
          <cell r="DB113">
            <v>0</v>
          </cell>
          <cell r="DC113" t="str">
            <v>nd</v>
          </cell>
          <cell r="DD113">
            <v>0</v>
          </cell>
          <cell r="DE113">
            <v>90.7</v>
          </cell>
          <cell r="DF113">
            <v>15.1</v>
          </cell>
          <cell r="DG113">
            <v>11.200000000000001</v>
          </cell>
          <cell r="DH113">
            <v>19.3</v>
          </cell>
          <cell r="DI113">
            <v>18.3</v>
          </cell>
          <cell r="DJ113">
            <v>12.4</v>
          </cell>
          <cell r="DK113">
            <v>23.7</v>
          </cell>
          <cell r="DL113">
            <v>25.7</v>
          </cell>
          <cell r="DM113">
            <v>22.400000000000002</v>
          </cell>
          <cell r="DN113">
            <v>3.1</v>
          </cell>
          <cell r="DO113">
            <v>42.1</v>
          </cell>
          <cell r="DP113">
            <v>2.6</v>
          </cell>
          <cell r="DQ113" t="str">
            <v>nd</v>
          </cell>
          <cell r="DR113">
            <v>3.3000000000000003</v>
          </cell>
          <cell r="DS113">
            <v>5.8999999999999995</v>
          </cell>
          <cell r="DT113">
            <v>28.000000000000004</v>
          </cell>
          <cell r="DU113">
            <v>1.6910799999999999</v>
          </cell>
          <cell r="DV113">
            <v>1.55545</v>
          </cell>
          <cell r="DW113" t="str">
            <v>nd</v>
          </cell>
          <cell r="DX113" t="str">
            <v>nd</v>
          </cell>
          <cell r="DY113">
            <v>2.4113800000000003</v>
          </cell>
          <cell r="DZ113">
            <v>10.9562016</v>
          </cell>
          <cell r="EA113">
            <v>2.6480199999999998</v>
          </cell>
          <cell r="EB113">
            <v>3.2935600000000003</v>
          </cell>
          <cell r="EC113">
            <v>3.8505200000000004</v>
          </cell>
          <cell r="ED113">
            <v>2.302</v>
          </cell>
          <cell r="EE113">
            <v>3.0459799999999997</v>
          </cell>
          <cell r="EF113">
            <v>14.522213600000001</v>
          </cell>
          <cell r="EG113">
            <v>3.0436200000000002</v>
          </cell>
          <cell r="EH113">
            <v>0.98016999999999999</v>
          </cell>
          <cell r="EI113" t="str">
            <v>nd</v>
          </cell>
          <cell r="EJ113" t="str">
            <v>nd</v>
          </cell>
          <cell r="EK113">
            <v>3.8059799999999999</v>
          </cell>
          <cell r="EL113">
            <v>25.548043199999999</v>
          </cell>
          <cell r="EM113">
            <v>2.4437199999999999</v>
          </cell>
          <cell r="EN113">
            <v>2.5644100000000001</v>
          </cell>
          <cell r="EO113">
            <v>1.02637</v>
          </cell>
          <cell r="EP113">
            <v>1.0196699999999999</v>
          </cell>
          <cell r="EQ113">
            <v>2.6394000000000002</v>
          </cell>
          <cell r="ER113">
            <v>8.6873138000000001</v>
          </cell>
          <cell r="ES113">
            <v>0</v>
          </cell>
          <cell r="ET113">
            <v>0</v>
          </cell>
          <cell r="EU113">
            <v>0</v>
          </cell>
          <cell r="EV113">
            <v>0</v>
          </cell>
          <cell r="EW113">
            <v>0</v>
          </cell>
          <cell r="EX113">
            <v>1.08531</v>
          </cell>
          <cell r="EY113">
            <v>0.67177299999999995</v>
          </cell>
          <cell r="EZ113">
            <v>0</v>
          </cell>
          <cell r="FA113" t="str">
            <v>nd</v>
          </cell>
          <cell r="FB113">
            <v>4.5945900000000002</v>
          </cell>
          <cell r="FC113">
            <v>3.7764600000000002</v>
          </cell>
          <cell r="FD113" t="str">
            <v>nd</v>
          </cell>
          <cell r="FE113">
            <v>0.93874000000000002</v>
          </cell>
          <cell r="FF113">
            <v>2.71136</v>
          </cell>
          <cell r="FG113">
            <v>3.3505500000000001</v>
          </cell>
          <cell r="FH113">
            <v>13.922852899999999</v>
          </cell>
          <cell r="FI113" t="str">
            <v>nd</v>
          </cell>
          <cell r="FJ113">
            <v>1.28969</v>
          </cell>
          <cell r="FK113" t="str">
            <v>nd</v>
          </cell>
          <cell r="FL113">
            <v>2.52013</v>
          </cell>
          <cell r="FM113">
            <v>3.2509999999999999</v>
          </cell>
          <cell r="FN113">
            <v>15.310769299999999</v>
          </cell>
          <cell r="FO113">
            <v>2.3689200000000001</v>
          </cell>
          <cell r="FP113">
            <v>1.2183299999999999</v>
          </cell>
          <cell r="FQ113">
            <v>3.1557099999999996</v>
          </cell>
          <cell r="FR113">
            <v>2.09368</v>
          </cell>
          <cell r="FS113">
            <v>5.0057900000000002</v>
          </cell>
          <cell r="FT113">
            <v>21.5850887</v>
          </cell>
          <cell r="FU113" t="str">
            <v>nd</v>
          </cell>
          <cell r="FV113">
            <v>0</v>
          </cell>
          <cell r="FW113">
            <v>0</v>
          </cell>
          <cell r="FX113">
            <v>1.1234600000000001</v>
          </cell>
          <cell r="FY113">
            <v>1.3559099999999999</v>
          </cell>
          <cell r="FZ113">
            <v>4.7061700000000002</v>
          </cell>
          <cell r="GA113">
            <v>5.1652000000000005</v>
          </cell>
          <cell r="GB113">
            <v>0</v>
          </cell>
          <cell r="GC113" t="str">
            <v>nd</v>
          </cell>
          <cell r="GD113" t="str">
            <v>nd</v>
          </cell>
          <cell r="GE113">
            <v>2.8988400000000003</v>
          </cell>
          <cell r="GF113">
            <v>3.56826</v>
          </cell>
          <cell r="GG113">
            <v>3.1657799999999998</v>
          </cell>
          <cell r="GH113">
            <v>1.4686299999999999</v>
          </cell>
          <cell r="GI113">
            <v>3.5809199999999999</v>
          </cell>
          <cell r="GJ113">
            <v>3.8836400000000002</v>
          </cell>
          <cell r="GK113">
            <v>10.0773777</v>
          </cell>
          <cell r="GL113">
            <v>0</v>
          </cell>
          <cell r="GM113" t="str">
            <v>nd</v>
          </cell>
          <cell r="GN113" t="str">
            <v>nd</v>
          </cell>
          <cell r="GO113">
            <v>1.4524000000000001</v>
          </cell>
          <cell r="GP113">
            <v>2.6350199999999999</v>
          </cell>
          <cell r="GQ113">
            <v>14.568363100000001</v>
          </cell>
          <cell r="GR113" t="str">
            <v>nd</v>
          </cell>
          <cell r="GS113" t="str">
            <v>nd</v>
          </cell>
          <cell r="GT113">
            <v>0</v>
          </cell>
          <cell r="GU113" t="str">
            <v>nd</v>
          </cell>
          <cell r="GV113">
            <v>1.6206000000000003</v>
          </cell>
          <cell r="GW113">
            <v>31.348194899999999</v>
          </cell>
          <cell r="GX113">
            <v>0</v>
          </cell>
          <cell r="GY113">
            <v>0</v>
          </cell>
          <cell r="GZ113">
            <v>0</v>
          </cell>
          <cell r="HA113">
            <v>0</v>
          </cell>
          <cell r="HB113" t="str">
            <v>nd</v>
          </cell>
          <cell r="HC113">
            <v>6.9636882</v>
          </cell>
          <cell r="HD113">
            <v>0</v>
          </cell>
          <cell r="HE113" t="str">
            <v>nd</v>
          </cell>
          <cell r="HF113">
            <v>0</v>
          </cell>
          <cell r="HG113">
            <v>0</v>
          </cell>
          <cell r="HH113">
            <v>6.4341068000000003</v>
          </cell>
          <cell r="HI113">
            <v>0</v>
          </cell>
          <cell r="HJ113">
            <v>0</v>
          </cell>
          <cell r="HK113" t="str">
            <v>nd</v>
          </cell>
          <cell r="HL113">
            <v>0</v>
          </cell>
          <cell r="HM113">
            <v>10.573700799999999</v>
          </cell>
          <cell r="HN113">
            <v>14.8231853</v>
          </cell>
          <cell r="HO113">
            <v>0</v>
          </cell>
          <cell r="HP113">
            <v>0</v>
          </cell>
          <cell r="HQ113">
            <v>0</v>
          </cell>
          <cell r="HR113">
            <v>0</v>
          </cell>
          <cell r="HS113">
            <v>5.9917499999999997</v>
          </cell>
          <cell r="HT113">
            <v>17.432765199999999</v>
          </cell>
          <cell r="HU113">
            <v>0</v>
          </cell>
          <cell r="HV113">
            <v>0</v>
          </cell>
          <cell r="HW113">
            <v>0</v>
          </cell>
          <cell r="HX113" t="str">
            <v>nd</v>
          </cell>
          <cell r="HY113">
            <v>7.2073478</v>
          </cell>
          <cell r="HZ113">
            <v>27.120242600000001</v>
          </cell>
          <cell r="IA113">
            <v>0</v>
          </cell>
          <cell r="IB113">
            <v>0</v>
          </cell>
          <cell r="IC113">
            <v>0</v>
          </cell>
          <cell r="ID113" t="str">
            <v>nd</v>
          </cell>
          <cell r="IE113">
            <v>2.1569199999999999</v>
          </cell>
          <cell r="IF113">
            <v>6.4149954999999999</v>
          </cell>
          <cell r="IG113" t="str">
            <v>nd</v>
          </cell>
          <cell r="IH113" t="str">
            <v>nd</v>
          </cell>
          <cell r="II113">
            <v>0</v>
          </cell>
          <cell r="IJ113" t="str">
            <v>nd</v>
          </cell>
          <cell r="IK113">
            <v>6.2278600000000006</v>
          </cell>
          <cell r="IL113">
            <v>0</v>
          </cell>
          <cell r="IM113" t="str">
            <v>nd</v>
          </cell>
          <cell r="IN113" t="str">
            <v>nd</v>
          </cell>
          <cell r="IO113">
            <v>1.0502100000000001</v>
          </cell>
          <cell r="IP113">
            <v>5.9154</v>
          </cell>
          <cell r="IQ113">
            <v>17.666753800000002</v>
          </cell>
          <cell r="IR113">
            <v>0</v>
          </cell>
          <cell r="IS113">
            <v>0</v>
          </cell>
          <cell r="IT113">
            <v>0</v>
          </cell>
          <cell r="IU113" t="str">
            <v>nd</v>
          </cell>
          <cell r="IV113">
            <v>4.29094</v>
          </cell>
          <cell r="IW113">
            <v>19.057155300000002</v>
          </cell>
          <cell r="IX113">
            <v>0</v>
          </cell>
          <cell r="IY113">
            <v>0</v>
          </cell>
          <cell r="IZ113" t="str">
            <v>nd</v>
          </cell>
          <cell r="JA113">
            <v>1.0775399999999999</v>
          </cell>
          <cell r="JB113">
            <v>10.387439000000001</v>
          </cell>
          <cell r="JC113">
            <v>23.9245907</v>
          </cell>
          <cell r="JD113">
            <v>0</v>
          </cell>
          <cell r="JE113">
            <v>0</v>
          </cell>
          <cell r="JF113">
            <v>0</v>
          </cell>
          <cell r="JG113" t="str">
            <v>nd</v>
          </cell>
          <cell r="JH113" t="str">
            <v>nd</v>
          </cell>
          <cell r="JI113">
            <v>7.1936263</v>
          </cell>
          <cell r="JJ113">
            <v>0</v>
          </cell>
          <cell r="JK113">
            <v>0</v>
          </cell>
          <cell r="JL113">
            <v>0</v>
          </cell>
          <cell r="JM113">
            <v>0</v>
          </cell>
          <cell r="JN113">
            <v>7.0307191000000007</v>
          </cell>
          <cell r="JO113">
            <v>0</v>
          </cell>
          <cell r="JP113">
            <v>0</v>
          </cell>
          <cell r="JQ113">
            <v>0</v>
          </cell>
          <cell r="JR113">
            <v>0</v>
          </cell>
          <cell r="JS113" t="str">
            <v>nd</v>
          </cell>
          <cell r="JT113">
            <v>25.828139900000004</v>
          </cell>
          <cell r="JU113">
            <v>0</v>
          </cell>
          <cell r="JV113">
            <v>0</v>
          </cell>
          <cell r="JW113">
            <v>0</v>
          </cell>
          <cell r="JX113">
            <v>0</v>
          </cell>
          <cell r="JY113">
            <v>0</v>
          </cell>
          <cell r="JZ113">
            <v>23.067632</v>
          </cell>
          <cell r="KA113">
            <v>0</v>
          </cell>
          <cell r="KB113">
            <v>0</v>
          </cell>
          <cell r="KC113">
            <v>0</v>
          </cell>
          <cell r="KD113">
            <v>0</v>
          </cell>
          <cell r="KE113">
            <v>0</v>
          </cell>
          <cell r="KF113">
            <v>36.035715099999997</v>
          </cell>
          <cell r="KG113">
            <v>0</v>
          </cell>
          <cell r="KH113">
            <v>0</v>
          </cell>
          <cell r="KI113">
            <v>0</v>
          </cell>
          <cell r="KJ113">
            <v>0</v>
          </cell>
          <cell r="KK113">
            <v>0</v>
          </cell>
          <cell r="KL113">
            <v>7.8368039999999999</v>
          </cell>
          <cell r="KM113">
            <v>65.400000000000006</v>
          </cell>
          <cell r="KN113">
            <v>13.5</v>
          </cell>
          <cell r="KO113">
            <v>16.400000000000002</v>
          </cell>
          <cell r="KP113">
            <v>2.4</v>
          </cell>
          <cell r="KQ113">
            <v>2.2999999999999998</v>
          </cell>
          <cell r="KR113">
            <v>0</v>
          </cell>
          <cell r="KS113">
            <v>64.8</v>
          </cell>
          <cell r="KT113">
            <v>13.700000000000001</v>
          </cell>
          <cell r="KU113">
            <v>16.600000000000001</v>
          </cell>
          <cell r="KV113">
            <v>2.4</v>
          </cell>
          <cell r="KW113">
            <v>2.4</v>
          </cell>
          <cell r="KX113">
            <v>0</v>
          </cell>
          <cell r="KY113"/>
          <cell r="KZ113"/>
          <cell r="LA113"/>
          <cell r="LB113"/>
          <cell r="LC113"/>
          <cell r="LD113"/>
          <cell r="LE113"/>
          <cell r="LF113"/>
          <cell r="LG113"/>
          <cell r="LH113"/>
          <cell r="LI113"/>
          <cell r="LJ113"/>
          <cell r="LK113"/>
          <cell r="LL113"/>
          <cell r="LM113"/>
          <cell r="LN113"/>
          <cell r="LO113"/>
        </row>
        <row r="114">
          <cell r="A114" t="str">
            <v>2RU</v>
          </cell>
          <cell r="B114" t="str">
            <v>114</v>
          </cell>
          <cell r="C114" t="str">
            <v>NAF 17</v>
          </cell>
          <cell r="D114" t="str">
            <v>RU</v>
          </cell>
          <cell r="E114" t="str">
            <v>2</v>
          </cell>
          <cell r="F114">
            <v>12</v>
          </cell>
          <cell r="G114">
            <v>24.8</v>
          </cell>
          <cell r="H114">
            <v>30</v>
          </cell>
          <cell r="I114">
            <v>28.599999999999998</v>
          </cell>
          <cell r="J114">
            <v>4.5999999999999996</v>
          </cell>
          <cell r="K114">
            <v>41.199999999999996</v>
          </cell>
          <cell r="L114">
            <v>50.6</v>
          </cell>
          <cell r="M114" t="str">
            <v>nd</v>
          </cell>
          <cell r="N114">
            <v>7.5</v>
          </cell>
          <cell r="O114">
            <v>38.1</v>
          </cell>
          <cell r="P114">
            <v>26.5</v>
          </cell>
          <cell r="Q114">
            <v>1.5</v>
          </cell>
          <cell r="R114">
            <v>5.8999999999999995</v>
          </cell>
          <cell r="S114">
            <v>14.6</v>
          </cell>
          <cell r="T114">
            <v>29.799999999999997</v>
          </cell>
          <cell r="U114">
            <v>22.7</v>
          </cell>
          <cell r="V114">
            <v>22.7</v>
          </cell>
          <cell r="W114">
            <v>19.5</v>
          </cell>
          <cell r="X114">
            <v>78.600000000000009</v>
          </cell>
          <cell r="Y114">
            <v>1.7999999999999998</v>
          </cell>
          <cell r="Z114" t="str">
            <v>nd</v>
          </cell>
          <cell r="AA114">
            <v>33</v>
          </cell>
          <cell r="AB114">
            <v>6.3</v>
          </cell>
          <cell r="AC114">
            <v>58.599999999999994</v>
          </cell>
          <cell r="AD114">
            <v>32.5</v>
          </cell>
          <cell r="AE114">
            <v>64.7</v>
          </cell>
          <cell r="AF114">
            <v>35.299999999999997</v>
          </cell>
          <cell r="AG114">
            <v>42.9</v>
          </cell>
          <cell r="AH114">
            <v>57.099999999999994</v>
          </cell>
          <cell r="AI114">
            <v>22.1</v>
          </cell>
          <cell r="AJ114">
            <v>49.8</v>
          </cell>
          <cell r="AK114">
            <v>1.7000000000000002</v>
          </cell>
          <cell r="AL114">
            <v>21.6</v>
          </cell>
          <cell r="AM114">
            <v>4.9000000000000004</v>
          </cell>
          <cell r="AN114">
            <v>7.1999999999999993</v>
          </cell>
          <cell r="AO114">
            <v>4.2</v>
          </cell>
          <cell r="AP114">
            <v>2.8000000000000003</v>
          </cell>
          <cell r="AQ114">
            <v>81.8</v>
          </cell>
          <cell r="AR114" t="str">
            <v>nd</v>
          </cell>
          <cell r="AS114">
            <v>54.1</v>
          </cell>
          <cell r="AT114">
            <v>10.6</v>
          </cell>
          <cell r="AU114">
            <v>10.7</v>
          </cell>
          <cell r="AV114">
            <v>9</v>
          </cell>
          <cell r="AW114">
            <v>10.4</v>
          </cell>
          <cell r="AX114">
            <v>5.3</v>
          </cell>
          <cell r="AY114">
            <v>4.7</v>
          </cell>
          <cell r="AZ114">
            <v>8.6999999999999993</v>
          </cell>
          <cell r="BA114">
            <v>4.8</v>
          </cell>
          <cell r="BB114">
            <v>9</v>
          </cell>
          <cell r="BC114">
            <v>31.5</v>
          </cell>
          <cell r="BD114">
            <v>41.3</v>
          </cell>
          <cell r="BE114">
            <v>6.7</v>
          </cell>
          <cell r="BF114">
            <v>6</v>
          </cell>
          <cell r="BG114">
            <v>6.4</v>
          </cell>
          <cell r="BH114">
            <v>8.6999999999999993</v>
          </cell>
          <cell r="BI114">
            <v>17.399999999999999</v>
          </cell>
          <cell r="BJ114">
            <v>54.800000000000004</v>
          </cell>
          <cell r="BK114">
            <v>0</v>
          </cell>
          <cell r="BL114">
            <v>0</v>
          </cell>
          <cell r="BM114" t="str">
            <v>nd</v>
          </cell>
          <cell r="BN114">
            <v>5.2</v>
          </cell>
          <cell r="BO114">
            <v>46</v>
          </cell>
          <cell r="BP114">
            <v>48.4</v>
          </cell>
          <cell r="BQ114" t="str">
            <v>nd</v>
          </cell>
          <cell r="BR114" t="str">
            <v>nd</v>
          </cell>
          <cell r="BS114" t="str">
            <v>nd</v>
          </cell>
          <cell r="BT114">
            <v>6.6000000000000005</v>
          </cell>
          <cell r="BU114">
            <v>40.1</v>
          </cell>
          <cell r="BV114">
            <v>52.300000000000004</v>
          </cell>
          <cell r="BW114">
            <v>0</v>
          </cell>
          <cell r="BX114">
            <v>0</v>
          </cell>
          <cell r="BY114">
            <v>0</v>
          </cell>
          <cell r="BZ114" t="str">
            <v>nd</v>
          </cell>
          <cell r="CA114" t="str">
            <v>nd</v>
          </cell>
          <cell r="CB114">
            <v>99.1</v>
          </cell>
          <cell r="CC114">
            <v>5.0999999999999996</v>
          </cell>
          <cell r="CD114">
            <v>7.3999999999999995</v>
          </cell>
          <cell r="CE114" t="str">
            <v>nd</v>
          </cell>
          <cell r="CF114">
            <v>4</v>
          </cell>
          <cell r="CG114">
            <v>0</v>
          </cell>
          <cell r="CH114">
            <v>17</v>
          </cell>
          <cell r="CI114">
            <v>10.9</v>
          </cell>
          <cell r="CJ114">
            <v>70.8</v>
          </cell>
          <cell r="CK114">
            <v>23.1</v>
          </cell>
          <cell r="CL114">
            <v>1.5</v>
          </cell>
          <cell r="CM114" t="str">
            <v>nd</v>
          </cell>
          <cell r="CN114" t="str">
            <v>nd</v>
          </cell>
          <cell r="CO114">
            <v>76.099999999999994</v>
          </cell>
          <cell r="CP114">
            <v>19.5</v>
          </cell>
          <cell r="CQ114">
            <v>24.8</v>
          </cell>
          <cell r="CR114">
            <v>24.3</v>
          </cell>
          <cell r="CS114">
            <v>31.4</v>
          </cell>
          <cell r="CT114">
            <v>41.699999999999996</v>
          </cell>
          <cell r="CU114">
            <v>58.3</v>
          </cell>
          <cell r="CV114">
            <v>20.599999999999998</v>
          </cell>
          <cell r="CW114">
            <v>79.400000000000006</v>
          </cell>
          <cell r="CX114">
            <v>23.3</v>
          </cell>
          <cell r="CY114">
            <v>13</v>
          </cell>
          <cell r="CZ114">
            <v>63.7</v>
          </cell>
          <cell r="DA114">
            <v>26</v>
          </cell>
          <cell r="DB114">
            <v>0</v>
          </cell>
          <cell r="DC114">
            <v>0</v>
          </cell>
          <cell r="DD114">
            <v>0</v>
          </cell>
          <cell r="DE114">
            <v>74.599999999999994</v>
          </cell>
          <cell r="DF114">
            <v>8.6</v>
          </cell>
          <cell r="DG114">
            <v>8.7999999999999989</v>
          </cell>
          <cell r="DH114">
            <v>23.9</v>
          </cell>
          <cell r="DI114">
            <v>20.3</v>
          </cell>
          <cell r="DJ114">
            <v>19.100000000000001</v>
          </cell>
          <cell r="DK114">
            <v>19.100000000000001</v>
          </cell>
          <cell r="DL114">
            <v>10.5</v>
          </cell>
          <cell r="DM114">
            <v>27.900000000000002</v>
          </cell>
          <cell r="DN114">
            <v>3</v>
          </cell>
          <cell r="DO114">
            <v>43.3</v>
          </cell>
          <cell r="DP114">
            <v>9</v>
          </cell>
          <cell r="DQ114" t="str">
            <v>nd</v>
          </cell>
          <cell r="DR114">
            <v>1.4000000000000001</v>
          </cell>
          <cell r="DS114">
            <v>17.2</v>
          </cell>
          <cell r="DT114">
            <v>32.700000000000003</v>
          </cell>
          <cell r="DU114">
            <v>1.99275</v>
          </cell>
          <cell r="DV114">
            <v>4.8832699999999996</v>
          </cell>
          <cell r="DW114" t="str">
            <v>nd</v>
          </cell>
          <cell r="DX114">
            <v>0.81472</v>
          </cell>
          <cell r="DY114">
            <v>2.4905500000000003</v>
          </cell>
          <cell r="DZ114">
            <v>8.3811259000000007</v>
          </cell>
          <cell r="EA114">
            <v>4.0403599999999997</v>
          </cell>
          <cell r="EB114">
            <v>6.2857723000000005</v>
          </cell>
          <cell r="EC114">
            <v>1.8864399999999999</v>
          </cell>
          <cell r="ED114">
            <v>1.7650399999999999</v>
          </cell>
          <cell r="EE114">
            <v>1.58972</v>
          </cell>
          <cell r="EF114">
            <v>19.470991700000003</v>
          </cell>
          <cell r="EG114">
            <v>4.4541200000000005</v>
          </cell>
          <cell r="EH114">
            <v>1.7493100000000001</v>
          </cell>
          <cell r="EI114">
            <v>2.15781</v>
          </cell>
          <cell r="EJ114" t="str">
            <v>nd</v>
          </cell>
          <cell r="EK114" t="str">
            <v>nd</v>
          </cell>
          <cell r="EL114">
            <v>20.425086499999999</v>
          </cell>
          <cell r="EM114">
            <v>1.5714100000000002</v>
          </cell>
          <cell r="EN114">
            <v>2.06582</v>
          </cell>
          <cell r="EO114">
            <v>3.23088</v>
          </cell>
          <cell r="EP114" t="str">
            <v>nd</v>
          </cell>
          <cell r="EQ114" t="str">
            <v>nd</v>
          </cell>
          <cell r="ER114">
            <v>3.7686900000000003</v>
          </cell>
          <cell r="ES114">
            <v>0</v>
          </cell>
          <cell r="ET114" t="str">
            <v>nd</v>
          </cell>
          <cell r="EU114" t="str">
            <v>nd</v>
          </cell>
          <cell r="EV114">
            <v>0</v>
          </cell>
          <cell r="EW114" t="str">
            <v>nd</v>
          </cell>
          <cell r="EX114">
            <v>0</v>
          </cell>
          <cell r="EY114">
            <v>3.5495400000000004</v>
          </cell>
          <cell r="EZ114">
            <v>0</v>
          </cell>
          <cell r="FA114">
            <v>2.86151</v>
          </cell>
          <cell r="FB114">
            <v>5.3462299999999994</v>
          </cell>
          <cell r="FC114" t="str">
            <v>nd</v>
          </cell>
          <cell r="FD114" t="str">
            <v>nd</v>
          </cell>
          <cell r="FE114">
            <v>2.5696500000000002</v>
          </cell>
          <cell r="FF114">
            <v>2.1283599999999998</v>
          </cell>
          <cell r="FG114">
            <v>10.521203399999999</v>
          </cell>
          <cell r="FH114">
            <v>7.7548592000000003</v>
          </cell>
          <cell r="FI114">
            <v>0.89046000000000003</v>
          </cell>
          <cell r="FJ114" t="str">
            <v>nd</v>
          </cell>
          <cell r="FK114">
            <v>1.6224400000000001</v>
          </cell>
          <cell r="FL114">
            <v>1.8931500000000001</v>
          </cell>
          <cell r="FM114">
            <v>9.6553188999999993</v>
          </cell>
          <cell r="FN114">
            <v>15.2759844</v>
          </cell>
          <cell r="FO114">
            <v>2.7036500000000001</v>
          </cell>
          <cell r="FP114">
            <v>5.4492199999999995</v>
          </cell>
          <cell r="FQ114" t="str">
            <v>nd</v>
          </cell>
          <cell r="FR114">
            <v>2.0800800000000002</v>
          </cell>
          <cell r="FS114">
            <v>7.3774786999999993</v>
          </cell>
          <cell r="FT114">
            <v>10.405877</v>
          </cell>
          <cell r="FU114">
            <v>0</v>
          </cell>
          <cell r="FV114" t="str">
            <v>nd</v>
          </cell>
          <cell r="FW114">
            <v>0</v>
          </cell>
          <cell r="FX114" t="str">
            <v>nd</v>
          </cell>
          <cell r="FY114" t="str">
            <v>nd</v>
          </cell>
          <cell r="FZ114">
            <v>2.56481</v>
          </cell>
          <cell r="GA114">
            <v>5.0750400000000004</v>
          </cell>
          <cell r="GB114" t="str">
            <v>nd</v>
          </cell>
          <cell r="GC114" t="str">
            <v>nd</v>
          </cell>
          <cell r="GD114" t="str">
            <v>nd</v>
          </cell>
          <cell r="GE114">
            <v>3.4520399999999998</v>
          </cell>
          <cell r="GF114">
            <v>1.65327</v>
          </cell>
          <cell r="GG114">
            <v>2.6096999999999997</v>
          </cell>
          <cell r="GH114">
            <v>2.9571499999999999</v>
          </cell>
          <cell r="GI114">
            <v>4.3308800000000005</v>
          </cell>
          <cell r="GJ114">
            <v>5.77651</v>
          </cell>
          <cell r="GK114">
            <v>7.1992934999999996</v>
          </cell>
          <cell r="GL114">
            <v>0</v>
          </cell>
          <cell r="GM114">
            <v>0</v>
          </cell>
          <cell r="GN114">
            <v>2.0827600000000004</v>
          </cell>
          <cell r="GO114">
            <v>3.4519700000000002</v>
          </cell>
          <cell r="GP114">
            <v>7.8975645999999999</v>
          </cell>
          <cell r="GQ114">
            <v>16.602289800000001</v>
          </cell>
          <cell r="GR114">
            <v>0</v>
          </cell>
          <cell r="GS114" t="str">
            <v>nd</v>
          </cell>
          <cell r="GT114" t="str">
            <v>nd</v>
          </cell>
          <cell r="GU114">
            <v>0</v>
          </cell>
          <cell r="GV114">
            <v>3.4653999999999998</v>
          </cell>
          <cell r="GW114">
            <v>24.997351200000001</v>
          </cell>
          <cell r="GX114">
            <v>0</v>
          </cell>
          <cell r="GY114" t="str">
            <v>nd</v>
          </cell>
          <cell r="GZ114">
            <v>0</v>
          </cell>
          <cell r="HA114">
            <v>0</v>
          </cell>
          <cell r="HB114" t="str">
            <v>nd</v>
          </cell>
          <cell r="HC114">
            <v>2.5003199999999999</v>
          </cell>
          <cell r="HD114">
            <v>0</v>
          </cell>
          <cell r="HE114">
            <v>3.6443700000000003</v>
          </cell>
          <cell r="HF114">
            <v>0</v>
          </cell>
          <cell r="HG114" t="str">
            <v>nd</v>
          </cell>
          <cell r="HH114">
            <v>8.4003634999999992</v>
          </cell>
          <cell r="HI114">
            <v>0</v>
          </cell>
          <cell r="HJ114">
            <v>0</v>
          </cell>
          <cell r="HK114" t="str">
            <v>nd</v>
          </cell>
          <cell r="HL114" t="str">
            <v>nd</v>
          </cell>
          <cell r="HM114">
            <v>9.476116900000001</v>
          </cell>
          <cell r="HN114">
            <v>13.281575200000001</v>
          </cell>
          <cell r="HO114">
            <v>0</v>
          </cell>
          <cell r="HP114">
            <v>0</v>
          </cell>
          <cell r="HQ114">
            <v>0</v>
          </cell>
          <cell r="HR114">
            <v>2.4559199999999999</v>
          </cell>
          <cell r="HS114">
            <v>17.081175699999999</v>
          </cell>
          <cell r="HT114">
            <v>10.9843046</v>
          </cell>
          <cell r="HU114">
            <v>0</v>
          </cell>
          <cell r="HV114">
            <v>0</v>
          </cell>
          <cell r="HW114">
            <v>0</v>
          </cell>
          <cell r="HX114" t="str">
            <v>nd</v>
          </cell>
          <cell r="HY114">
            <v>13.7621839</v>
          </cell>
          <cell r="HZ114">
            <v>14.436003100000001</v>
          </cell>
          <cell r="IA114">
            <v>0</v>
          </cell>
          <cell r="IB114">
            <v>0</v>
          </cell>
          <cell r="IC114">
            <v>0</v>
          </cell>
          <cell r="ID114" t="str">
            <v>nd</v>
          </cell>
          <cell r="IE114">
            <v>1.9526100000000002</v>
          </cell>
          <cell r="IF114">
            <v>1.3517700000000001</v>
          </cell>
          <cell r="IG114" t="str">
            <v>nd</v>
          </cell>
          <cell r="IH114">
            <v>2.0189400000000002</v>
          </cell>
          <cell r="II114" t="str">
            <v>nd</v>
          </cell>
          <cell r="IJ114">
            <v>1.31575</v>
          </cell>
          <cell r="IK114">
            <v>7.3836998000000005</v>
          </cell>
          <cell r="IL114">
            <v>0</v>
          </cell>
          <cell r="IM114" t="str">
            <v>nd</v>
          </cell>
          <cell r="IN114">
            <v>0</v>
          </cell>
          <cell r="IO114">
            <v>1.0451699999999999</v>
          </cell>
          <cell r="IP114">
            <v>12.4468154</v>
          </cell>
          <cell r="IQ114">
            <v>10.571430299999999</v>
          </cell>
          <cell r="IR114">
            <v>0</v>
          </cell>
          <cell r="IS114">
            <v>0</v>
          </cell>
          <cell r="IT114">
            <v>0</v>
          </cell>
          <cell r="IU114" t="str">
            <v>nd</v>
          </cell>
          <cell r="IV114">
            <v>10.743149000000001</v>
          </cell>
          <cell r="IW114">
            <v>19.090171300000002</v>
          </cell>
          <cell r="IX114">
            <v>0</v>
          </cell>
          <cell r="IY114">
            <v>0</v>
          </cell>
          <cell r="IZ114">
            <v>0</v>
          </cell>
          <cell r="JA114">
            <v>2.82958</v>
          </cell>
          <cell r="JB114">
            <v>12.599764799999999</v>
          </cell>
          <cell r="JC114">
            <v>14.147319100000001</v>
          </cell>
          <cell r="JD114">
            <v>0</v>
          </cell>
          <cell r="JE114">
            <v>0</v>
          </cell>
          <cell r="JF114">
            <v>0</v>
          </cell>
          <cell r="JG114" t="str">
            <v>nd</v>
          </cell>
          <cell r="JH114">
            <v>2.16947</v>
          </cell>
          <cell r="JI114">
            <v>1.1801200000000001</v>
          </cell>
          <cell r="JJ114">
            <v>0</v>
          </cell>
          <cell r="JK114">
            <v>0</v>
          </cell>
          <cell r="JL114">
            <v>0</v>
          </cell>
          <cell r="JM114">
            <v>0</v>
          </cell>
          <cell r="JN114">
            <v>12.047962</v>
          </cell>
          <cell r="JO114">
            <v>0</v>
          </cell>
          <cell r="JP114">
            <v>0</v>
          </cell>
          <cell r="JQ114">
            <v>0</v>
          </cell>
          <cell r="JR114">
            <v>0</v>
          </cell>
          <cell r="JS114" t="str">
            <v>nd</v>
          </cell>
          <cell r="JT114">
            <v>22.666765599999998</v>
          </cell>
          <cell r="JU114">
            <v>0</v>
          </cell>
          <cell r="JV114">
            <v>0</v>
          </cell>
          <cell r="JW114">
            <v>0</v>
          </cell>
          <cell r="JX114">
            <v>0</v>
          </cell>
          <cell r="JY114">
            <v>0</v>
          </cell>
          <cell r="JZ114">
            <v>31.521761300000001</v>
          </cell>
          <cell r="KA114">
            <v>0</v>
          </cell>
          <cell r="KB114">
            <v>0</v>
          </cell>
          <cell r="KC114">
            <v>0</v>
          </cell>
          <cell r="KD114" t="str">
            <v>nd</v>
          </cell>
          <cell r="KE114">
            <v>0</v>
          </cell>
          <cell r="KF114">
            <v>28.963708799999999</v>
          </cell>
          <cell r="KG114">
            <v>0</v>
          </cell>
          <cell r="KH114">
            <v>0</v>
          </cell>
          <cell r="KI114">
            <v>0</v>
          </cell>
          <cell r="KJ114">
            <v>0</v>
          </cell>
          <cell r="KK114">
            <v>0</v>
          </cell>
          <cell r="KL114">
            <v>3.8579500000000002</v>
          </cell>
          <cell r="KM114">
            <v>60.8</v>
          </cell>
          <cell r="KN114">
            <v>14.899999999999999</v>
          </cell>
          <cell r="KO114">
            <v>17.2</v>
          </cell>
          <cell r="KP114">
            <v>3.3000000000000003</v>
          </cell>
          <cell r="KQ114">
            <v>3.8</v>
          </cell>
          <cell r="KR114">
            <v>0.1</v>
          </cell>
          <cell r="KS114">
            <v>59.9</v>
          </cell>
          <cell r="KT114">
            <v>15</v>
          </cell>
          <cell r="KU114">
            <v>17.2</v>
          </cell>
          <cell r="KV114">
            <v>3.6999999999999997</v>
          </cell>
          <cell r="KW114">
            <v>4.2</v>
          </cell>
          <cell r="KX114">
            <v>0.1</v>
          </cell>
          <cell r="KY114"/>
          <cell r="KZ114"/>
          <cell r="LA114"/>
          <cell r="LB114"/>
          <cell r="LC114"/>
          <cell r="LD114"/>
          <cell r="LE114"/>
          <cell r="LF114"/>
          <cell r="LG114"/>
          <cell r="LH114"/>
          <cell r="LI114"/>
          <cell r="LJ114"/>
          <cell r="LK114"/>
          <cell r="LL114"/>
          <cell r="LM114"/>
          <cell r="LN114"/>
          <cell r="LO114"/>
        </row>
        <row r="115">
          <cell r="A115" t="str">
            <v>3RU</v>
          </cell>
          <cell r="B115" t="str">
            <v>115</v>
          </cell>
          <cell r="C115" t="str">
            <v>NAF 17</v>
          </cell>
          <cell r="D115" t="str">
            <v>RU</v>
          </cell>
          <cell r="E115" t="str">
            <v>3</v>
          </cell>
          <cell r="F115">
            <v>10.5</v>
          </cell>
          <cell r="G115">
            <v>25.6</v>
          </cell>
          <cell r="H115">
            <v>28.799999999999997</v>
          </cell>
          <cell r="I115">
            <v>29.7</v>
          </cell>
          <cell r="J115">
            <v>5.4</v>
          </cell>
          <cell r="K115">
            <v>30.2</v>
          </cell>
          <cell r="L115">
            <v>61.8</v>
          </cell>
          <cell r="M115" t="str">
            <v>nd</v>
          </cell>
          <cell r="N115">
            <v>7.3999999999999995</v>
          </cell>
          <cell r="O115">
            <v>39</v>
          </cell>
          <cell r="P115">
            <v>33.700000000000003</v>
          </cell>
          <cell r="Q115">
            <v>3.9</v>
          </cell>
          <cell r="R115">
            <v>6.1</v>
          </cell>
          <cell r="S115">
            <v>16</v>
          </cell>
          <cell r="T115">
            <v>25</v>
          </cell>
          <cell r="U115">
            <v>34.200000000000003</v>
          </cell>
          <cell r="V115">
            <v>20</v>
          </cell>
          <cell r="W115">
            <v>18.600000000000001</v>
          </cell>
          <cell r="X115">
            <v>80.100000000000009</v>
          </cell>
          <cell r="Y115">
            <v>1.3</v>
          </cell>
          <cell r="Z115">
            <v>0</v>
          </cell>
          <cell r="AA115">
            <v>46.800000000000004</v>
          </cell>
          <cell r="AB115" t="str">
            <v>nd</v>
          </cell>
          <cell r="AC115">
            <v>61.3</v>
          </cell>
          <cell r="AD115">
            <v>15.6</v>
          </cell>
          <cell r="AE115">
            <v>77.600000000000009</v>
          </cell>
          <cell r="AF115">
            <v>22.400000000000002</v>
          </cell>
          <cell r="AG115">
            <v>38.6</v>
          </cell>
          <cell r="AH115">
            <v>61.4</v>
          </cell>
          <cell r="AI115">
            <v>22.7</v>
          </cell>
          <cell r="AJ115">
            <v>46.400000000000006</v>
          </cell>
          <cell r="AK115">
            <v>3.2</v>
          </cell>
          <cell r="AL115">
            <v>16.5</v>
          </cell>
          <cell r="AM115">
            <v>11.3</v>
          </cell>
          <cell r="AN115">
            <v>6.1</v>
          </cell>
          <cell r="AO115">
            <v>5.2</v>
          </cell>
          <cell r="AP115" t="str">
            <v>nd</v>
          </cell>
          <cell r="AQ115">
            <v>82.6</v>
          </cell>
          <cell r="AR115">
            <v>5.4</v>
          </cell>
          <cell r="AS115">
            <v>53.800000000000004</v>
          </cell>
          <cell r="AT115">
            <v>16.7</v>
          </cell>
          <cell r="AU115">
            <v>7.8</v>
          </cell>
          <cell r="AV115">
            <v>7.9</v>
          </cell>
          <cell r="AW115">
            <v>6.3</v>
          </cell>
          <cell r="AX115">
            <v>7.6</v>
          </cell>
          <cell r="AY115">
            <v>4.7</v>
          </cell>
          <cell r="AZ115">
            <v>5.8999999999999995</v>
          </cell>
          <cell r="BA115">
            <v>4.8</v>
          </cell>
          <cell r="BB115">
            <v>10.8</v>
          </cell>
          <cell r="BC115">
            <v>27.200000000000003</v>
          </cell>
          <cell r="BD115">
            <v>46.5</v>
          </cell>
          <cell r="BE115">
            <v>5.7</v>
          </cell>
          <cell r="BF115">
            <v>3.9</v>
          </cell>
          <cell r="BG115">
            <v>2.1999999999999997</v>
          </cell>
          <cell r="BH115">
            <v>4.2</v>
          </cell>
          <cell r="BI115">
            <v>37.6</v>
          </cell>
          <cell r="BJ115">
            <v>46.300000000000004</v>
          </cell>
          <cell r="BK115">
            <v>0</v>
          </cell>
          <cell r="BL115">
            <v>0</v>
          </cell>
          <cell r="BM115">
            <v>0</v>
          </cell>
          <cell r="BN115">
            <v>6.5</v>
          </cell>
          <cell r="BO115">
            <v>52.2</v>
          </cell>
          <cell r="BP115">
            <v>41.3</v>
          </cell>
          <cell r="BQ115">
            <v>0</v>
          </cell>
          <cell r="BR115" t="str">
            <v>nd</v>
          </cell>
          <cell r="BS115">
            <v>1.6</v>
          </cell>
          <cell r="BT115">
            <v>6.8000000000000007</v>
          </cell>
          <cell r="BU115">
            <v>59.3</v>
          </cell>
          <cell r="BV115">
            <v>31</v>
          </cell>
          <cell r="BW115">
            <v>0</v>
          </cell>
          <cell r="BX115">
            <v>0</v>
          </cell>
          <cell r="BY115">
            <v>0</v>
          </cell>
          <cell r="BZ115">
            <v>0</v>
          </cell>
          <cell r="CA115">
            <v>0</v>
          </cell>
          <cell r="CB115">
            <v>100</v>
          </cell>
          <cell r="CC115">
            <v>7.1</v>
          </cell>
          <cell r="CD115">
            <v>10.4</v>
          </cell>
          <cell r="CE115" t="str">
            <v>nd</v>
          </cell>
          <cell r="CF115">
            <v>0</v>
          </cell>
          <cell r="CG115">
            <v>0</v>
          </cell>
          <cell r="CH115">
            <v>23.1</v>
          </cell>
          <cell r="CI115">
            <v>11</v>
          </cell>
          <cell r="CJ115">
            <v>64.400000000000006</v>
          </cell>
          <cell r="CK115">
            <v>20.599999999999998</v>
          </cell>
          <cell r="CL115">
            <v>2.4</v>
          </cell>
          <cell r="CM115" t="str">
            <v>nd</v>
          </cell>
          <cell r="CN115" t="str">
            <v>nd</v>
          </cell>
          <cell r="CO115">
            <v>79.2</v>
          </cell>
          <cell r="CP115">
            <v>22.2</v>
          </cell>
          <cell r="CQ115">
            <v>24.3</v>
          </cell>
          <cell r="CR115">
            <v>15.8</v>
          </cell>
          <cell r="CS115">
            <v>37.700000000000003</v>
          </cell>
          <cell r="CT115">
            <v>46.800000000000004</v>
          </cell>
          <cell r="CU115">
            <v>53.2</v>
          </cell>
          <cell r="CV115">
            <v>26.8</v>
          </cell>
          <cell r="CW115">
            <v>73.2</v>
          </cell>
          <cell r="CX115">
            <v>23.400000000000002</v>
          </cell>
          <cell r="CY115">
            <v>11.799999999999999</v>
          </cell>
          <cell r="CZ115">
            <v>64.8</v>
          </cell>
          <cell r="DA115">
            <v>19.100000000000001</v>
          </cell>
          <cell r="DB115" t="str">
            <v>nd</v>
          </cell>
          <cell r="DC115" t="str">
            <v>nd</v>
          </cell>
          <cell r="DD115">
            <v>0</v>
          </cell>
          <cell r="DE115">
            <v>75</v>
          </cell>
          <cell r="DF115">
            <v>9.6</v>
          </cell>
          <cell r="DG115">
            <v>7.7</v>
          </cell>
          <cell r="DH115">
            <v>20.9</v>
          </cell>
          <cell r="DI115">
            <v>14.899999999999999</v>
          </cell>
          <cell r="DJ115">
            <v>26.200000000000003</v>
          </cell>
          <cell r="DK115">
            <v>20.8</v>
          </cell>
          <cell r="DL115">
            <v>19.400000000000002</v>
          </cell>
          <cell r="DM115">
            <v>34</v>
          </cell>
          <cell r="DN115">
            <v>7.7</v>
          </cell>
          <cell r="DO115">
            <v>41.699999999999996</v>
          </cell>
          <cell r="DP115">
            <v>8.6999999999999993</v>
          </cell>
          <cell r="DQ115" t="str">
            <v>nd</v>
          </cell>
          <cell r="DR115">
            <v>1.5</v>
          </cell>
          <cell r="DS115">
            <v>15.6</v>
          </cell>
          <cell r="DT115">
            <v>28.7</v>
          </cell>
          <cell r="DU115" t="str">
            <v>nd</v>
          </cell>
          <cell r="DV115">
            <v>2.4538600000000002</v>
          </cell>
          <cell r="DW115">
            <v>1.8776000000000002</v>
          </cell>
          <cell r="DX115" t="str">
            <v>nd</v>
          </cell>
          <cell r="DY115" t="str">
            <v>nd</v>
          </cell>
          <cell r="DZ115">
            <v>11.3559667</v>
          </cell>
          <cell r="EA115">
            <v>3.7417199999999999</v>
          </cell>
          <cell r="EB115">
            <v>3.0863700000000001</v>
          </cell>
          <cell r="EC115">
            <v>3.5966199999999997</v>
          </cell>
          <cell r="ED115">
            <v>1.5899699999999999</v>
          </cell>
          <cell r="EE115" t="str">
            <v>nd</v>
          </cell>
          <cell r="EF115">
            <v>22.767553800000002</v>
          </cell>
          <cell r="EG115">
            <v>4.7962600000000002</v>
          </cell>
          <cell r="EH115">
            <v>1.41031</v>
          </cell>
          <cell r="EI115" t="str">
            <v>nd</v>
          </cell>
          <cell r="EJ115" t="str">
            <v>nd</v>
          </cell>
          <cell r="EK115">
            <v>0</v>
          </cell>
          <cell r="EL115">
            <v>15.783925300000002</v>
          </cell>
          <cell r="EM115">
            <v>6.0727200000000003</v>
          </cell>
          <cell r="EN115" t="str">
            <v>nd</v>
          </cell>
          <cell r="EO115" t="str">
            <v>nd</v>
          </cell>
          <cell r="EP115">
            <v>1.8331900000000001</v>
          </cell>
          <cell r="EQ115">
            <v>2.6254599999999999</v>
          </cell>
          <cell r="ER115">
            <v>2.2939400000000001</v>
          </cell>
          <cell r="ES115" t="str">
            <v>nd</v>
          </cell>
          <cell r="ET115">
            <v>0</v>
          </cell>
          <cell r="EU115">
            <v>0</v>
          </cell>
          <cell r="EV115">
            <v>0</v>
          </cell>
          <cell r="EW115" t="str">
            <v>nd</v>
          </cell>
          <cell r="EX115" t="str">
            <v>nd</v>
          </cell>
          <cell r="EY115">
            <v>3.5950200000000003</v>
          </cell>
          <cell r="EZ115">
            <v>0</v>
          </cell>
          <cell r="FA115">
            <v>0</v>
          </cell>
          <cell r="FB115">
            <v>3.5073500000000002</v>
          </cell>
          <cell r="FC115">
            <v>0</v>
          </cell>
          <cell r="FD115" t="str">
            <v>nd</v>
          </cell>
          <cell r="FE115" t="str">
            <v>nd</v>
          </cell>
          <cell r="FF115">
            <v>3.7083600000000003</v>
          </cell>
          <cell r="FG115">
            <v>6.4115292000000004</v>
          </cell>
          <cell r="FH115">
            <v>12.3115714</v>
          </cell>
          <cell r="FI115" t="str">
            <v>nd</v>
          </cell>
          <cell r="FJ115" t="str">
            <v>nd</v>
          </cell>
          <cell r="FK115" t="str">
            <v>nd</v>
          </cell>
          <cell r="FL115">
            <v>1.88012</v>
          </cell>
          <cell r="FM115">
            <v>10.2764133</v>
          </cell>
          <cell r="FN115">
            <v>16.802764500000002</v>
          </cell>
          <cell r="FO115">
            <v>2.7086600000000001</v>
          </cell>
          <cell r="FP115">
            <v>1.9212300000000002</v>
          </cell>
          <cell r="FQ115">
            <v>2.1899500000000001</v>
          </cell>
          <cell r="FR115">
            <v>5.2527600000000003</v>
          </cell>
          <cell r="FS115">
            <v>4.6694399999999998</v>
          </cell>
          <cell r="FT115">
            <v>11.6998198</v>
          </cell>
          <cell r="FU115">
            <v>0</v>
          </cell>
          <cell r="FV115">
            <v>0</v>
          </cell>
          <cell r="FW115" t="str">
            <v>nd</v>
          </cell>
          <cell r="FX115">
            <v>0</v>
          </cell>
          <cell r="FY115">
            <v>2.2894999999999999</v>
          </cell>
          <cell r="FZ115" t="str">
            <v>nd</v>
          </cell>
          <cell r="GA115" t="str">
            <v>nd</v>
          </cell>
          <cell r="GB115">
            <v>5.3202600000000002</v>
          </cell>
          <cell r="GC115">
            <v>0</v>
          </cell>
          <cell r="GD115" t="str">
            <v>nd</v>
          </cell>
          <cell r="GE115" t="str">
            <v>nd</v>
          </cell>
          <cell r="GF115">
            <v>4.0896099999999995</v>
          </cell>
          <cell r="GG115">
            <v>1.9358899999999999</v>
          </cell>
          <cell r="GH115">
            <v>2.2331400000000001</v>
          </cell>
          <cell r="GI115" t="str">
            <v>nd</v>
          </cell>
          <cell r="GJ115">
            <v>7.8045990999999999</v>
          </cell>
          <cell r="GK115">
            <v>10.008645899999999</v>
          </cell>
          <cell r="GL115" t="str">
            <v>nd</v>
          </cell>
          <cell r="GM115">
            <v>0</v>
          </cell>
          <cell r="GN115">
            <v>0</v>
          </cell>
          <cell r="GO115">
            <v>1.9448000000000001</v>
          </cell>
          <cell r="GP115">
            <v>13.462497300000001</v>
          </cell>
          <cell r="GQ115">
            <v>16.225403399999998</v>
          </cell>
          <cell r="GR115">
            <v>0</v>
          </cell>
          <cell r="GS115">
            <v>0</v>
          </cell>
          <cell r="GT115">
            <v>0</v>
          </cell>
          <cell r="GU115">
            <v>0</v>
          </cell>
          <cell r="GV115">
            <v>7.7579913999999999</v>
          </cell>
          <cell r="GW115">
            <v>17.875987300000002</v>
          </cell>
          <cell r="GX115">
            <v>0</v>
          </cell>
          <cell r="GY115">
            <v>0</v>
          </cell>
          <cell r="GZ115">
            <v>0</v>
          </cell>
          <cell r="HA115" t="str">
            <v>nd</v>
          </cell>
          <cell r="HB115">
            <v>3.2701800000000003</v>
          </cell>
          <cell r="HC115">
            <v>1.3655900000000001</v>
          </cell>
          <cell r="HD115">
            <v>0</v>
          </cell>
          <cell r="HE115" t="str">
            <v>nd</v>
          </cell>
          <cell r="HF115">
            <v>0</v>
          </cell>
          <cell r="HG115">
            <v>0</v>
          </cell>
          <cell r="HH115">
            <v>7.8390553000000001</v>
          </cell>
          <cell r="HI115">
            <v>0</v>
          </cell>
          <cell r="HJ115">
            <v>0</v>
          </cell>
          <cell r="HK115">
            <v>0</v>
          </cell>
          <cell r="HL115">
            <v>0</v>
          </cell>
          <cell r="HM115">
            <v>15.856909999999999</v>
          </cell>
          <cell r="HN115">
            <v>12.2806698</v>
          </cell>
          <cell r="HO115">
            <v>0</v>
          </cell>
          <cell r="HP115">
            <v>0</v>
          </cell>
          <cell r="HQ115">
            <v>0</v>
          </cell>
          <cell r="HR115">
            <v>5.2119600000000004</v>
          </cell>
          <cell r="HS115">
            <v>13.8150358</v>
          </cell>
          <cell r="HT115">
            <v>9.9119069</v>
          </cell>
          <cell r="HU115">
            <v>0</v>
          </cell>
          <cell r="HV115">
            <v>0</v>
          </cell>
          <cell r="HW115">
            <v>0</v>
          </cell>
          <cell r="HX115" t="str">
            <v>nd</v>
          </cell>
          <cell r="HY115">
            <v>16.538824999999999</v>
          </cell>
          <cell r="HZ115">
            <v>10.852195999999999</v>
          </cell>
          <cell r="IA115">
            <v>0</v>
          </cell>
          <cell r="IB115">
            <v>0</v>
          </cell>
          <cell r="IC115">
            <v>0</v>
          </cell>
          <cell r="ID115">
            <v>0</v>
          </cell>
          <cell r="IE115">
            <v>4.8133500000000007</v>
          </cell>
          <cell r="IF115" t="str">
            <v>nd</v>
          </cell>
          <cell r="IG115">
            <v>0</v>
          </cell>
          <cell r="IH115">
            <v>2.66967</v>
          </cell>
          <cell r="II115" t="str">
            <v>nd</v>
          </cell>
          <cell r="IJ115" t="str">
            <v>nd</v>
          </cell>
          <cell r="IK115">
            <v>4.5846900000000002</v>
          </cell>
          <cell r="IL115">
            <v>0</v>
          </cell>
          <cell r="IM115">
            <v>0</v>
          </cell>
          <cell r="IN115" t="str">
            <v>nd</v>
          </cell>
          <cell r="IO115" t="str">
            <v>nd</v>
          </cell>
          <cell r="IP115">
            <v>14.4737571</v>
          </cell>
          <cell r="IQ115">
            <v>9.0254663999999991</v>
          </cell>
          <cell r="IR115">
            <v>0</v>
          </cell>
          <cell r="IS115" t="str">
            <v>nd</v>
          </cell>
          <cell r="IT115">
            <v>0</v>
          </cell>
          <cell r="IU115">
            <v>3.0666700000000002</v>
          </cell>
          <cell r="IV115">
            <v>18.2389154</v>
          </cell>
          <cell r="IW115">
            <v>8.3098124999999996</v>
          </cell>
          <cell r="IX115">
            <v>0</v>
          </cell>
          <cell r="IY115" t="str">
            <v>nd</v>
          </cell>
          <cell r="IZ115">
            <v>0</v>
          </cell>
          <cell r="JA115" t="str">
            <v>nd</v>
          </cell>
          <cell r="JB115">
            <v>19.630382299999997</v>
          </cell>
          <cell r="JC115">
            <v>7.7280866000000001</v>
          </cell>
          <cell r="JD115">
            <v>0</v>
          </cell>
          <cell r="JE115">
            <v>0</v>
          </cell>
          <cell r="JF115">
            <v>0</v>
          </cell>
          <cell r="JG115">
            <v>0</v>
          </cell>
          <cell r="JH115">
            <v>4.3441299999999998</v>
          </cell>
          <cell r="JI115">
            <v>1.38269</v>
          </cell>
          <cell r="JJ115">
            <v>0</v>
          </cell>
          <cell r="JK115">
            <v>0</v>
          </cell>
          <cell r="JL115">
            <v>0</v>
          </cell>
          <cell r="JM115">
            <v>0</v>
          </cell>
          <cell r="JN115">
            <v>8.9678146999999999</v>
          </cell>
          <cell r="JO115">
            <v>0</v>
          </cell>
          <cell r="JP115">
            <v>0</v>
          </cell>
          <cell r="JQ115">
            <v>0</v>
          </cell>
          <cell r="JR115">
            <v>0</v>
          </cell>
          <cell r="JS115">
            <v>0</v>
          </cell>
          <cell r="JT115">
            <v>26.1018382</v>
          </cell>
          <cell r="JU115">
            <v>0</v>
          </cell>
          <cell r="JV115">
            <v>0</v>
          </cell>
          <cell r="JW115">
            <v>0</v>
          </cell>
          <cell r="JX115">
            <v>0</v>
          </cell>
          <cell r="JY115">
            <v>0</v>
          </cell>
          <cell r="JZ115">
            <v>32.133693299999997</v>
          </cell>
          <cell r="KA115">
            <v>0</v>
          </cell>
          <cell r="KB115">
            <v>0</v>
          </cell>
          <cell r="KC115">
            <v>0</v>
          </cell>
          <cell r="KD115">
            <v>0</v>
          </cell>
          <cell r="KE115">
            <v>0</v>
          </cell>
          <cell r="KF115">
            <v>27.603482400000001</v>
          </cell>
          <cell r="KG115">
            <v>0</v>
          </cell>
          <cell r="KH115">
            <v>0</v>
          </cell>
          <cell r="KI115">
            <v>0</v>
          </cell>
          <cell r="KJ115">
            <v>0</v>
          </cell>
          <cell r="KK115">
            <v>0</v>
          </cell>
          <cell r="KL115">
            <v>5.1931699999999994</v>
          </cell>
          <cell r="KM115">
            <v>63</v>
          </cell>
          <cell r="KN115">
            <v>14.499999999999998</v>
          </cell>
          <cell r="KO115">
            <v>11.799999999999999</v>
          </cell>
          <cell r="KP115">
            <v>4.3</v>
          </cell>
          <cell r="KQ115">
            <v>6.4</v>
          </cell>
          <cell r="KR115">
            <v>0</v>
          </cell>
          <cell r="KS115">
            <v>62.2</v>
          </cell>
          <cell r="KT115">
            <v>14.899999999999999</v>
          </cell>
          <cell r="KU115">
            <v>11.600000000000001</v>
          </cell>
          <cell r="KV115">
            <v>4.7</v>
          </cell>
          <cell r="KW115">
            <v>6.6000000000000005</v>
          </cell>
          <cell r="KX115">
            <v>0</v>
          </cell>
          <cell r="KY115"/>
          <cell r="KZ115"/>
          <cell r="LA115"/>
          <cell r="LB115"/>
          <cell r="LC115"/>
          <cell r="LD115"/>
          <cell r="LE115"/>
          <cell r="LF115"/>
          <cell r="LG115"/>
          <cell r="LH115"/>
          <cell r="LI115"/>
          <cell r="LJ115"/>
          <cell r="LK115"/>
          <cell r="LL115"/>
          <cell r="LM115"/>
          <cell r="LN115"/>
          <cell r="LO115"/>
        </row>
        <row r="116">
          <cell r="A116" t="str">
            <v>4RU</v>
          </cell>
          <cell r="B116" t="str">
            <v>116</v>
          </cell>
          <cell r="C116" t="str">
            <v>NAF 17</v>
          </cell>
          <cell r="D116" t="str">
            <v>RU</v>
          </cell>
          <cell r="E116" t="str">
            <v>4</v>
          </cell>
          <cell r="F116">
            <v>9.1999999999999993</v>
          </cell>
          <cell r="G116">
            <v>17</v>
          </cell>
          <cell r="H116">
            <v>29.599999999999998</v>
          </cell>
          <cell r="I116">
            <v>39.5</v>
          </cell>
          <cell r="J116">
            <v>4.8</v>
          </cell>
          <cell r="K116">
            <v>28.299999999999997</v>
          </cell>
          <cell r="L116">
            <v>62.3</v>
          </cell>
          <cell r="M116" t="str">
            <v>nd</v>
          </cell>
          <cell r="N116" t="str">
            <v>nd</v>
          </cell>
          <cell r="O116">
            <v>29.5</v>
          </cell>
          <cell r="P116">
            <v>36.199999999999996</v>
          </cell>
          <cell r="Q116" t="str">
            <v>nd</v>
          </cell>
          <cell r="R116">
            <v>10</v>
          </cell>
          <cell r="S116">
            <v>20</v>
          </cell>
          <cell r="T116">
            <v>19.100000000000001</v>
          </cell>
          <cell r="U116">
            <v>28.499999999999996</v>
          </cell>
          <cell r="V116">
            <v>28.199999999999996</v>
          </cell>
          <cell r="W116">
            <v>22.5</v>
          </cell>
          <cell r="X116">
            <v>72.7</v>
          </cell>
          <cell r="Y116">
            <v>4.7</v>
          </cell>
          <cell r="Z116">
            <v>0</v>
          </cell>
          <cell r="AA116">
            <v>51.2</v>
          </cell>
          <cell r="AB116">
            <v>16.400000000000002</v>
          </cell>
          <cell r="AC116">
            <v>39.900000000000006</v>
          </cell>
          <cell r="AD116">
            <v>23.9</v>
          </cell>
          <cell r="AE116">
            <v>72.599999999999994</v>
          </cell>
          <cell r="AF116">
            <v>27.400000000000002</v>
          </cell>
          <cell r="AG116">
            <v>73.099999999999994</v>
          </cell>
          <cell r="AH116">
            <v>26.900000000000002</v>
          </cell>
          <cell r="AI116">
            <v>13.5</v>
          </cell>
          <cell r="AJ116">
            <v>41.5</v>
          </cell>
          <cell r="AK116">
            <v>6.9</v>
          </cell>
          <cell r="AL116">
            <v>29.799999999999997</v>
          </cell>
          <cell r="AM116">
            <v>8.3000000000000007</v>
          </cell>
          <cell r="AN116">
            <v>10.8</v>
          </cell>
          <cell r="AO116">
            <v>9.1</v>
          </cell>
          <cell r="AP116" t="str">
            <v>nd</v>
          </cell>
          <cell r="AQ116">
            <v>77</v>
          </cell>
          <cell r="AR116">
            <v>2.2999999999999998</v>
          </cell>
          <cell r="AS116">
            <v>50.2</v>
          </cell>
          <cell r="AT116">
            <v>15.299999999999999</v>
          </cell>
          <cell r="AU116">
            <v>8.9</v>
          </cell>
          <cell r="AV116">
            <v>11.5</v>
          </cell>
          <cell r="AW116">
            <v>6.3</v>
          </cell>
          <cell r="AX116">
            <v>7.8</v>
          </cell>
          <cell r="AY116">
            <v>5</v>
          </cell>
          <cell r="AZ116">
            <v>10.199999999999999</v>
          </cell>
          <cell r="BA116">
            <v>7.7</v>
          </cell>
          <cell r="BB116">
            <v>14.299999999999999</v>
          </cell>
          <cell r="BC116">
            <v>33.700000000000003</v>
          </cell>
          <cell r="BD116">
            <v>29.099999999999998</v>
          </cell>
          <cell r="BE116">
            <v>0</v>
          </cell>
          <cell r="BF116">
            <v>3.2</v>
          </cell>
          <cell r="BG116">
            <v>5.5</v>
          </cell>
          <cell r="BH116">
            <v>12.5</v>
          </cell>
          <cell r="BI116">
            <v>34</v>
          </cell>
          <cell r="BJ116">
            <v>44.800000000000004</v>
          </cell>
          <cell r="BK116">
            <v>0</v>
          </cell>
          <cell r="BL116">
            <v>0</v>
          </cell>
          <cell r="BM116">
            <v>0</v>
          </cell>
          <cell r="BN116">
            <v>7.6</v>
          </cell>
          <cell r="BO116">
            <v>77.3</v>
          </cell>
          <cell r="BP116">
            <v>15.1</v>
          </cell>
          <cell r="BQ116">
            <v>0</v>
          </cell>
          <cell r="BR116">
            <v>0</v>
          </cell>
          <cell r="BS116" t="str">
            <v>nd</v>
          </cell>
          <cell r="BT116">
            <v>5.5</v>
          </cell>
          <cell r="BU116">
            <v>59.5</v>
          </cell>
          <cell r="BV116">
            <v>33.6</v>
          </cell>
          <cell r="BW116">
            <v>0</v>
          </cell>
          <cell r="BX116">
            <v>0</v>
          </cell>
          <cell r="BY116">
            <v>0</v>
          </cell>
          <cell r="BZ116">
            <v>0</v>
          </cell>
          <cell r="CA116" t="str">
            <v>nd</v>
          </cell>
          <cell r="CB116">
            <v>99.1</v>
          </cell>
          <cell r="CC116">
            <v>8.9</v>
          </cell>
          <cell r="CD116">
            <v>13.8</v>
          </cell>
          <cell r="CE116">
            <v>0</v>
          </cell>
          <cell r="CF116" t="str">
            <v>nd</v>
          </cell>
          <cell r="CG116">
            <v>0</v>
          </cell>
          <cell r="CH116">
            <v>25</v>
          </cell>
          <cell r="CI116">
            <v>8.4</v>
          </cell>
          <cell r="CJ116">
            <v>66.2</v>
          </cell>
          <cell r="CK116">
            <v>24.8</v>
          </cell>
          <cell r="CL116">
            <v>8.6</v>
          </cell>
          <cell r="CM116" t="str">
            <v>nd</v>
          </cell>
          <cell r="CN116">
            <v>0</v>
          </cell>
          <cell r="CO116">
            <v>71.2</v>
          </cell>
          <cell r="CP116">
            <v>22</v>
          </cell>
          <cell r="CQ116">
            <v>27</v>
          </cell>
          <cell r="CR116">
            <v>15.2</v>
          </cell>
          <cell r="CS116">
            <v>35.699999999999996</v>
          </cell>
          <cell r="CT116">
            <v>51.5</v>
          </cell>
          <cell r="CU116">
            <v>48.5</v>
          </cell>
          <cell r="CV116">
            <v>28.999999999999996</v>
          </cell>
          <cell r="CW116">
            <v>71</v>
          </cell>
          <cell r="CX116">
            <v>22.2</v>
          </cell>
          <cell r="CY116">
            <v>19.8</v>
          </cell>
          <cell r="CZ116">
            <v>57.9</v>
          </cell>
          <cell r="DA116">
            <v>24.7</v>
          </cell>
          <cell r="DB116" t="str">
            <v>nd</v>
          </cell>
          <cell r="DC116">
            <v>0</v>
          </cell>
          <cell r="DD116">
            <v>0</v>
          </cell>
          <cell r="DE116">
            <v>92.100000000000009</v>
          </cell>
          <cell r="DF116">
            <v>19.3</v>
          </cell>
          <cell r="DG116">
            <v>9.6</v>
          </cell>
          <cell r="DH116">
            <v>20.399999999999999</v>
          </cell>
          <cell r="DI116">
            <v>14.6</v>
          </cell>
          <cell r="DJ116">
            <v>16.8</v>
          </cell>
          <cell r="DK116">
            <v>19.3</v>
          </cell>
          <cell r="DL116">
            <v>14.399999999999999</v>
          </cell>
          <cell r="DM116">
            <v>24.099999999999998</v>
          </cell>
          <cell r="DN116">
            <v>12.8</v>
          </cell>
          <cell r="DO116">
            <v>53</v>
          </cell>
          <cell r="DP116">
            <v>13</v>
          </cell>
          <cell r="DQ116">
            <v>5.6000000000000005</v>
          </cell>
          <cell r="DR116">
            <v>5.5</v>
          </cell>
          <cell r="DS116">
            <v>17.100000000000001</v>
          </cell>
          <cell r="DT116">
            <v>19.900000000000002</v>
          </cell>
          <cell r="DU116" t="str">
            <v>nd</v>
          </cell>
          <cell r="DV116" t="str">
            <v>nd</v>
          </cell>
          <cell r="DW116" t="str">
            <v>nd</v>
          </cell>
          <cell r="DX116" t="str">
            <v>nd</v>
          </cell>
          <cell r="DY116" t="str">
            <v>nd</v>
          </cell>
          <cell r="DZ116" t="str">
            <v>nd</v>
          </cell>
          <cell r="EA116">
            <v>3.3567399999999998</v>
          </cell>
          <cell r="EB116" t="str">
            <v>nd</v>
          </cell>
          <cell r="EC116">
            <v>4.3265199999999995</v>
          </cell>
          <cell r="ED116">
            <v>3.2970299999999999</v>
          </cell>
          <cell r="EE116" t="str">
            <v>nd</v>
          </cell>
          <cell r="EF116">
            <v>15.644048799999998</v>
          </cell>
          <cell r="EG116">
            <v>9.3751903999999993</v>
          </cell>
          <cell r="EH116" t="str">
            <v>nd</v>
          </cell>
          <cell r="EI116">
            <v>3.8399299999999998</v>
          </cell>
          <cell r="EJ116">
            <v>0</v>
          </cell>
          <cell r="EK116">
            <v>0</v>
          </cell>
          <cell r="EL116">
            <v>27.804638599999997</v>
          </cell>
          <cell r="EM116" t="str">
            <v>nd</v>
          </cell>
          <cell r="EN116">
            <v>3.3954</v>
          </cell>
          <cell r="EO116" t="str">
            <v>nd</v>
          </cell>
          <cell r="EP116" t="str">
            <v>nd</v>
          </cell>
          <cell r="EQ116" t="str">
            <v>nd</v>
          </cell>
          <cell r="ER116" t="str">
            <v>nd</v>
          </cell>
          <cell r="ES116" t="str">
            <v>nd</v>
          </cell>
          <cell r="ET116" t="str">
            <v>nd</v>
          </cell>
          <cell r="EU116" t="str">
            <v>nd</v>
          </cell>
          <cell r="EV116">
            <v>0</v>
          </cell>
          <cell r="EW116">
            <v>0</v>
          </cell>
          <cell r="EX116">
            <v>0</v>
          </cell>
          <cell r="EY116">
            <v>5.9461000000000004</v>
          </cell>
          <cell r="EZ116">
            <v>0</v>
          </cell>
          <cell r="FA116" t="str">
            <v>nd</v>
          </cell>
          <cell r="FB116">
            <v>2.44353</v>
          </cell>
          <cell r="FC116">
            <v>0</v>
          </cell>
          <cell r="FD116">
            <v>3.5425</v>
          </cell>
          <cell r="FE116" t="str">
            <v>nd</v>
          </cell>
          <cell r="FF116" t="str">
            <v>nd</v>
          </cell>
          <cell r="FG116">
            <v>9.6655379999999997</v>
          </cell>
          <cell r="FH116" t="str">
            <v>nd</v>
          </cell>
          <cell r="FI116" t="str">
            <v>nd</v>
          </cell>
          <cell r="FJ116" t="str">
            <v>nd</v>
          </cell>
          <cell r="FK116" t="str">
            <v>nd</v>
          </cell>
          <cell r="FL116">
            <v>7.3784004000000003</v>
          </cell>
          <cell r="FM116">
            <v>9.7798858000000006</v>
          </cell>
          <cell r="FN116">
            <v>5.7469700000000001</v>
          </cell>
          <cell r="FO116" t="str">
            <v>nd</v>
          </cell>
          <cell r="FP116">
            <v>4.3365900000000002</v>
          </cell>
          <cell r="FQ116">
            <v>3.0201899999999999</v>
          </cell>
          <cell r="FR116">
            <v>4.4341499999999998</v>
          </cell>
          <cell r="FS116">
            <v>8.2900064999999987</v>
          </cell>
          <cell r="FT116">
            <v>16.8840176</v>
          </cell>
          <cell r="FU116">
            <v>0</v>
          </cell>
          <cell r="FV116">
            <v>0</v>
          </cell>
          <cell r="FW116" t="str">
            <v>nd</v>
          </cell>
          <cell r="FX116" t="str">
            <v>nd</v>
          </cell>
          <cell r="FY116">
            <v>0</v>
          </cell>
          <cell r="FZ116" t="str">
            <v>nd</v>
          </cell>
          <cell r="GA116">
            <v>0</v>
          </cell>
          <cell r="GB116" t="str">
            <v>nd</v>
          </cell>
          <cell r="GC116" t="str">
            <v>nd</v>
          </cell>
          <cell r="GD116">
            <v>0</v>
          </cell>
          <cell r="GE116" t="str">
            <v>nd</v>
          </cell>
          <cell r="GF116">
            <v>0</v>
          </cell>
          <cell r="GG116" t="str">
            <v>nd</v>
          </cell>
          <cell r="GH116">
            <v>2.9886499999999998</v>
          </cell>
          <cell r="GI116">
            <v>3.5674900000000003</v>
          </cell>
          <cell r="GJ116">
            <v>7.3781216999999994</v>
          </cell>
          <cell r="GK116" t="str">
            <v>nd</v>
          </cell>
          <cell r="GL116">
            <v>0</v>
          </cell>
          <cell r="GM116">
            <v>0</v>
          </cell>
          <cell r="GN116" t="str">
            <v>nd</v>
          </cell>
          <cell r="GO116">
            <v>5.4058000000000002</v>
          </cell>
          <cell r="GP116">
            <v>10.5456298</v>
          </cell>
          <cell r="GQ116">
            <v>10.976195299999999</v>
          </cell>
          <cell r="GR116">
            <v>0</v>
          </cell>
          <cell r="GS116">
            <v>0</v>
          </cell>
          <cell r="GT116">
            <v>0</v>
          </cell>
          <cell r="GU116">
            <v>0</v>
          </cell>
          <cell r="GV116">
            <v>11.784050000000001</v>
          </cell>
          <cell r="GW116">
            <v>29.122305599999997</v>
          </cell>
          <cell r="GX116">
            <v>0</v>
          </cell>
          <cell r="GY116">
            <v>0</v>
          </cell>
          <cell r="GZ116">
            <v>0</v>
          </cell>
          <cell r="HA116" t="str">
            <v>nd</v>
          </cell>
          <cell r="HB116">
            <v>0</v>
          </cell>
          <cell r="HC116">
            <v>1.49552</v>
          </cell>
          <cell r="HD116">
            <v>0</v>
          </cell>
          <cell r="HE116">
            <v>7.7271366999999991</v>
          </cell>
          <cell r="HF116">
            <v>0</v>
          </cell>
          <cell r="HG116">
            <v>0</v>
          </cell>
          <cell r="HH116" t="str">
            <v>nd</v>
          </cell>
          <cell r="HI116">
            <v>0</v>
          </cell>
          <cell r="HJ116">
            <v>0</v>
          </cell>
          <cell r="HK116">
            <v>0</v>
          </cell>
          <cell r="HL116" t="str">
            <v>nd</v>
          </cell>
          <cell r="HM116">
            <v>10.974455499999999</v>
          </cell>
          <cell r="HN116">
            <v>3.5069599999999999</v>
          </cell>
          <cell r="HO116">
            <v>0</v>
          </cell>
          <cell r="HP116">
            <v>0</v>
          </cell>
          <cell r="HQ116">
            <v>0</v>
          </cell>
          <cell r="HR116" t="str">
            <v>nd</v>
          </cell>
          <cell r="HS116">
            <v>26.168619899999999</v>
          </cell>
          <cell r="HT116" t="str">
            <v>nd</v>
          </cell>
          <cell r="HU116">
            <v>0</v>
          </cell>
          <cell r="HV116">
            <v>0</v>
          </cell>
          <cell r="HW116">
            <v>0</v>
          </cell>
          <cell r="HX116" t="str">
            <v>nd</v>
          </cell>
          <cell r="HY116">
            <v>27.974619699999998</v>
          </cell>
          <cell r="HZ116">
            <v>7.673353099999999</v>
          </cell>
          <cell r="IA116">
            <v>0</v>
          </cell>
          <cell r="IB116">
            <v>0</v>
          </cell>
          <cell r="IC116">
            <v>0</v>
          </cell>
          <cell r="ID116">
            <v>0</v>
          </cell>
          <cell r="IE116">
            <v>4.4853200000000006</v>
          </cell>
          <cell r="IF116" t="str">
            <v>nd</v>
          </cell>
          <cell r="IG116">
            <v>0</v>
          </cell>
          <cell r="IH116">
            <v>1.7288000000000001</v>
          </cell>
          <cell r="II116">
            <v>0</v>
          </cell>
          <cell r="IJ116">
            <v>0</v>
          </cell>
          <cell r="IK116">
            <v>7.4910432999999994</v>
          </cell>
          <cell r="IL116">
            <v>0</v>
          </cell>
          <cell r="IM116">
            <v>0</v>
          </cell>
          <cell r="IN116" t="str">
            <v>nd</v>
          </cell>
          <cell r="IO116" t="str">
            <v>nd</v>
          </cell>
          <cell r="IP116">
            <v>9.1372803000000005</v>
          </cell>
          <cell r="IQ116">
            <v>4.22736</v>
          </cell>
          <cell r="IR116">
            <v>0</v>
          </cell>
          <cell r="IS116">
            <v>0</v>
          </cell>
          <cell r="IT116">
            <v>0</v>
          </cell>
          <cell r="IU116" t="str">
            <v>nd</v>
          </cell>
          <cell r="IV116">
            <v>16.727098700000003</v>
          </cell>
          <cell r="IW116">
            <v>10.590389200000001</v>
          </cell>
          <cell r="IX116">
            <v>0</v>
          </cell>
          <cell r="IY116">
            <v>0</v>
          </cell>
          <cell r="IZ116">
            <v>0</v>
          </cell>
          <cell r="JA116" t="str">
            <v>nd</v>
          </cell>
          <cell r="JB116">
            <v>27.674389999999999</v>
          </cell>
          <cell r="JC116">
            <v>10.6010013</v>
          </cell>
          <cell r="JD116">
            <v>0</v>
          </cell>
          <cell r="JE116">
            <v>0</v>
          </cell>
          <cell r="JF116">
            <v>0</v>
          </cell>
          <cell r="JG116">
            <v>0</v>
          </cell>
          <cell r="JH116">
            <v>4.2548200000000005</v>
          </cell>
          <cell r="JI116" t="str">
            <v>nd</v>
          </cell>
          <cell r="JJ116">
            <v>0</v>
          </cell>
          <cell r="JK116">
            <v>0</v>
          </cell>
          <cell r="JL116">
            <v>0</v>
          </cell>
          <cell r="JM116">
            <v>0</v>
          </cell>
          <cell r="JN116">
            <v>9.2133781999999993</v>
          </cell>
          <cell r="JO116">
            <v>0</v>
          </cell>
          <cell r="JP116">
            <v>0</v>
          </cell>
          <cell r="JQ116">
            <v>0</v>
          </cell>
          <cell r="JR116">
            <v>0</v>
          </cell>
          <cell r="JS116" t="str">
            <v>nd</v>
          </cell>
          <cell r="JT116">
            <v>13.221374299999999</v>
          </cell>
          <cell r="JU116">
            <v>0</v>
          </cell>
          <cell r="JV116">
            <v>0</v>
          </cell>
          <cell r="JW116">
            <v>0</v>
          </cell>
          <cell r="JX116">
            <v>0</v>
          </cell>
          <cell r="JY116">
            <v>0</v>
          </cell>
          <cell r="JZ116">
            <v>28.610835099999999</v>
          </cell>
          <cell r="KA116">
            <v>0</v>
          </cell>
          <cell r="KB116">
            <v>0</v>
          </cell>
          <cell r="KC116">
            <v>0</v>
          </cell>
          <cell r="KD116">
            <v>0</v>
          </cell>
          <cell r="KE116" t="str">
            <v>nd</v>
          </cell>
          <cell r="KF116">
            <v>43.052256</v>
          </cell>
          <cell r="KG116">
            <v>0</v>
          </cell>
          <cell r="KH116">
            <v>0</v>
          </cell>
          <cell r="KI116">
            <v>0</v>
          </cell>
          <cell r="KJ116">
            <v>0</v>
          </cell>
          <cell r="KK116">
            <v>0</v>
          </cell>
          <cell r="KL116">
            <v>5.0175000000000001</v>
          </cell>
          <cell r="KM116">
            <v>60.099999999999994</v>
          </cell>
          <cell r="KN116">
            <v>18.8</v>
          </cell>
          <cell r="KO116">
            <v>10.100000000000001</v>
          </cell>
          <cell r="KP116">
            <v>6.4</v>
          </cell>
          <cell r="KQ116">
            <v>4.5</v>
          </cell>
          <cell r="KR116">
            <v>0</v>
          </cell>
          <cell r="KS116">
            <v>58.9</v>
          </cell>
          <cell r="KT116">
            <v>18.8</v>
          </cell>
          <cell r="KU116">
            <v>10.7</v>
          </cell>
          <cell r="KV116">
            <v>6.8000000000000007</v>
          </cell>
          <cell r="KW116">
            <v>4.7</v>
          </cell>
          <cell r="KX116">
            <v>0</v>
          </cell>
          <cell r="KY116"/>
          <cell r="KZ116"/>
          <cell r="LA116"/>
          <cell r="LB116"/>
          <cell r="LC116"/>
          <cell r="LD116"/>
          <cell r="LE116"/>
          <cell r="LF116"/>
          <cell r="LG116"/>
          <cell r="LH116"/>
          <cell r="LI116"/>
          <cell r="LJ116"/>
          <cell r="LK116"/>
          <cell r="LL116"/>
          <cell r="LM116"/>
          <cell r="LN116"/>
          <cell r="LO116"/>
        </row>
        <row r="117">
          <cell r="A117" t="str">
            <v>5RU</v>
          </cell>
          <cell r="B117" t="str">
            <v>117</v>
          </cell>
          <cell r="C117" t="str">
            <v>NAF 17</v>
          </cell>
          <cell r="D117" t="str">
            <v>RU</v>
          </cell>
          <cell r="E117" t="str">
            <v>5</v>
          </cell>
          <cell r="F117" t="str">
            <v>nd</v>
          </cell>
          <cell r="G117">
            <v>29.4</v>
          </cell>
          <cell r="H117">
            <v>16.5</v>
          </cell>
          <cell r="I117">
            <v>33.4</v>
          </cell>
          <cell r="J117">
            <v>17.399999999999999</v>
          </cell>
          <cell r="K117">
            <v>13.3</v>
          </cell>
          <cell r="L117">
            <v>51.2</v>
          </cell>
          <cell r="M117">
            <v>12.9</v>
          </cell>
          <cell r="N117">
            <v>22.7</v>
          </cell>
          <cell r="O117">
            <v>45.300000000000004</v>
          </cell>
          <cell r="P117">
            <v>27</v>
          </cell>
          <cell r="Q117">
            <v>8.4</v>
          </cell>
          <cell r="R117" t="str">
            <v>nd</v>
          </cell>
          <cell r="S117">
            <v>24.5</v>
          </cell>
          <cell r="T117">
            <v>12</v>
          </cell>
          <cell r="U117">
            <v>17.7</v>
          </cell>
          <cell r="V117">
            <v>33</v>
          </cell>
          <cell r="W117">
            <v>23.1</v>
          </cell>
          <cell r="X117">
            <v>69.699999999999989</v>
          </cell>
          <cell r="Y117">
            <v>7.1999999999999993</v>
          </cell>
          <cell r="Z117">
            <v>0</v>
          </cell>
          <cell r="AA117">
            <v>66.7</v>
          </cell>
          <cell r="AB117">
            <v>0</v>
          </cell>
          <cell r="AC117">
            <v>95.199999999999989</v>
          </cell>
          <cell r="AD117" t="str">
            <v>nd</v>
          </cell>
          <cell r="AE117">
            <v>65.100000000000009</v>
          </cell>
          <cell r="AF117">
            <v>34.9</v>
          </cell>
          <cell r="AG117">
            <v>82.8</v>
          </cell>
          <cell r="AH117">
            <v>17.2</v>
          </cell>
          <cell r="AI117">
            <v>16.100000000000001</v>
          </cell>
          <cell r="AJ117">
            <v>49.8</v>
          </cell>
          <cell r="AK117" t="str">
            <v>nd</v>
          </cell>
          <cell r="AL117">
            <v>22.3</v>
          </cell>
          <cell r="AM117">
            <v>10</v>
          </cell>
          <cell r="AN117">
            <v>13.700000000000001</v>
          </cell>
          <cell r="AO117" t="str">
            <v>nd</v>
          </cell>
          <cell r="AP117" t="str">
            <v>nd</v>
          </cell>
          <cell r="AQ117">
            <v>72.2</v>
          </cell>
          <cell r="AR117" t="str">
            <v>nd</v>
          </cell>
          <cell r="AS117">
            <v>38.800000000000004</v>
          </cell>
          <cell r="AT117">
            <v>33.200000000000003</v>
          </cell>
          <cell r="AU117">
            <v>5.8999999999999995</v>
          </cell>
          <cell r="AV117">
            <v>11.799999999999999</v>
          </cell>
          <cell r="AW117">
            <v>10.299999999999999</v>
          </cell>
          <cell r="AX117">
            <v>0</v>
          </cell>
          <cell r="AY117">
            <v>7.6</v>
          </cell>
          <cell r="AZ117">
            <v>3.9</v>
          </cell>
          <cell r="BA117">
            <v>6.6000000000000005</v>
          </cell>
          <cell r="BB117">
            <v>22</v>
          </cell>
          <cell r="BC117">
            <v>38.4</v>
          </cell>
          <cell r="BD117">
            <v>21.5</v>
          </cell>
          <cell r="BE117">
            <v>0</v>
          </cell>
          <cell r="BF117" t="str">
            <v>nd</v>
          </cell>
          <cell r="BG117">
            <v>7.3</v>
          </cell>
          <cell r="BH117">
            <v>15.9</v>
          </cell>
          <cell r="BI117">
            <v>21.099999999999998</v>
          </cell>
          <cell r="BJ117">
            <v>52.1</v>
          </cell>
          <cell r="BK117">
            <v>0</v>
          </cell>
          <cell r="BL117">
            <v>0</v>
          </cell>
          <cell r="BM117">
            <v>0</v>
          </cell>
          <cell r="BN117">
            <v>12.7</v>
          </cell>
          <cell r="BO117">
            <v>80.5</v>
          </cell>
          <cell r="BP117">
            <v>6.9</v>
          </cell>
          <cell r="BQ117">
            <v>0</v>
          </cell>
          <cell r="BR117">
            <v>0</v>
          </cell>
          <cell r="BS117" t="str">
            <v>nd</v>
          </cell>
          <cell r="BT117">
            <v>13</v>
          </cell>
          <cell r="BU117">
            <v>69.599999999999994</v>
          </cell>
          <cell r="BV117">
            <v>13.8</v>
          </cell>
          <cell r="BW117">
            <v>0</v>
          </cell>
          <cell r="BX117">
            <v>0</v>
          </cell>
          <cell r="BY117">
            <v>0</v>
          </cell>
          <cell r="BZ117">
            <v>0</v>
          </cell>
          <cell r="CA117" t="str">
            <v>nd</v>
          </cell>
          <cell r="CB117">
            <v>99.4</v>
          </cell>
          <cell r="CC117">
            <v>13.4</v>
          </cell>
          <cell r="CD117">
            <v>11.899999999999999</v>
          </cell>
          <cell r="CE117" t="str">
            <v>nd</v>
          </cell>
          <cell r="CF117" t="str">
            <v>nd</v>
          </cell>
          <cell r="CG117">
            <v>0</v>
          </cell>
          <cell r="CH117">
            <v>30.4</v>
          </cell>
          <cell r="CI117" t="str">
            <v>nd</v>
          </cell>
          <cell r="CJ117">
            <v>59.8</v>
          </cell>
          <cell r="CK117">
            <v>25.4</v>
          </cell>
          <cell r="CL117">
            <v>9.8000000000000007</v>
          </cell>
          <cell r="CM117">
            <v>8.5</v>
          </cell>
          <cell r="CN117" t="str">
            <v>nd</v>
          </cell>
          <cell r="CO117">
            <v>68.2</v>
          </cell>
          <cell r="CP117">
            <v>22.8</v>
          </cell>
          <cell r="CQ117">
            <v>23.200000000000003</v>
          </cell>
          <cell r="CR117">
            <v>16.7</v>
          </cell>
          <cell r="CS117">
            <v>37.299999999999997</v>
          </cell>
          <cell r="CT117">
            <v>54.900000000000006</v>
          </cell>
          <cell r="CU117">
            <v>45.1</v>
          </cell>
          <cell r="CV117">
            <v>34.4</v>
          </cell>
          <cell r="CW117">
            <v>65.600000000000009</v>
          </cell>
          <cell r="CX117">
            <v>27.500000000000004</v>
          </cell>
          <cell r="CY117">
            <v>12</v>
          </cell>
          <cell r="CZ117">
            <v>60.5</v>
          </cell>
          <cell r="DA117">
            <v>39.1</v>
          </cell>
          <cell r="DB117">
            <v>0</v>
          </cell>
          <cell r="DC117" t="str">
            <v>nd</v>
          </cell>
          <cell r="DD117">
            <v>0</v>
          </cell>
          <cell r="DE117">
            <v>56.399999999999991</v>
          </cell>
          <cell r="DF117">
            <v>13.8</v>
          </cell>
          <cell r="DG117">
            <v>11.899999999999999</v>
          </cell>
          <cell r="DH117">
            <v>23.5</v>
          </cell>
          <cell r="DI117">
            <v>8.2000000000000011</v>
          </cell>
          <cell r="DJ117">
            <v>26</v>
          </cell>
          <cell r="DK117">
            <v>16.600000000000001</v>
          </cell>
          <cell r="DL117">
            <v>11.799999999999999</v>
          </cell>
          <cell r="DM117">
            <v>23.799999999999997</v>
          </cell>
          <cell r="DN117">
            <v>21.3</v>
          </cell>
          <cell r="DO117">
            <v>47.099999999999994</v>
          </cell>
          <cell r="DP117">
            <v>12.6</v>
          </cell>
          <cell r="DQ117">
            <v>9.8000000000000007</v>
          </cell>
          <cell r="DR117" t="str">
            <v>nd</v>
          </cell>
          <cell r="DS117">
            <v>13.8</v>
          </cell>
          <cell r="DT117">
            <v>31.8</v>
          </cell>
          <cell r="DU117" t="str">
            <v>nd</v>
          </cell>
          <cell r="DV117">
            <v>0</v>
          </cell>
          <cell r="DW117">
            <v>0</v>
          </cell>
          <cell r="DX117">
            <v>0</v>
          </cell>
          <cell r="DY117">
            <v>0</v>
          </cell>
          <cell r="DZ117" t="str">
            <v>nd</v>
          </cell>
          <cell r="EA117">
            <v>14.417163499999999</v>
          </cell>
          <cell r="EB117" t="str">
            <v>nd</v>
          </cell>
          <cell r="EC117" t="str">
            <v>nd</v>
          </cell>
          <cell r="ED117">
            <v>0</v>
          </cell>
          <cell r="EE117">
            <v>0</v>
          </cell>
          <cell r="EF117">
            <v>4.7480099999999998</v>
          </cell>
          <cell r="EG117">
            <v>2.24648</v>
          </cell>
          <cell r="EH117" t="str">
            <v>nd</v>
          </cell>
          <cell r="EI117" t="str">
            <v>nd</v>
          </cell>
          <cell r="EJ117">
            <v>5.8391000000000002</v>
          </cell>
          <cell r="EK117">
            <v>0</v>
          </cell>
          <cell r="EL117">
            <v>16.336934100000001</v>
          </cell>
          <cell r="EM117">
            <v>15.4332133</v>
          </cell>
          <cell r="EN117" t="str">
            <v>nd</v>
          </cell>
          <cell r="EO117">
            <v>0</v>
          </cell>
          <cell r="EP117">
            <v>0</v>
          </cell>
          <cell r="EQ117">
            <v>0</v>
          </cell>
          <cell r="ER117">
            <v>12.029577399999999</v>
          </cell>
          <cell r="ES117" t="str">
            <v>nd</v>
          </cell>
          <cell r="ET117">
            <v>0</v>
          </cell>
          <cell r="EU117">
            <v>0</v>
          </cell>
          <cell r="EV117" t="str">
            <v>nd</v>
          </cell>
          <cell r="EW117">
            <v>0</v>
          </cell>
          <cell r="EX117">
            <v>0</v>
          </cell>
          <cell r="EY117" t="str">
            <v>nd</v>
          </cell>
          <cell r="EZ117">
            <v>0</v>
          </cell>
          <cell r="FA117">
            <v>0</v>
          </cell>
          <cell r="FB117">
            <v>0</v>
          </cell>
          <cell r="FC117" t="str">
            <v>nd</v>
          </cell>
          <cell r="FD117">
            <v>0</v>
          </cell>
          <cell r="FE117" t="str">
            <v>nd</v>
          </cell>
          <cell r="FF117" t="str">
            <v>nd</v>
          </cell>
          <cell r="FG117">
            <v>6.3887334000000005</v>
          </cell>
          <cell r="FH117" t="str">
            <v>nd</v>
          </cell>
          <cell r="FI117">
            <v>3.9373199999999997</v>
          </cell>
          <cell r="FJ117" t="str">
            <v>nd</v>
          </cell>
          <cell r="FK117">
            <v>0</v>
          </cell>
          <cell r="FL117" t="str">
            <v>nd</v>
          </cell>
          <cell r="FM117">
            <v>5.3732199999999999</v>
          </cell>
          <cell r="FN117" t="str">
            <v>nd</v>
          </cell>
          <cell r="FO117">
            <v>0</v>
          </cell>
          <cell r="FP117" t="str">
            <v>nd</v>
          </cell>
          <cell r="FQ117" t="str">
            <v>nd</v>
          </cell>
          <cell r="FR117">
            <v>12.090112100000001</v>
          </cell>
          <cell r="FS117">
            <v>14.710274500000001</v>
          </cell>
          <cell r="FT117" t="str">
            <v>nd</v>
          </cell>
          <cell r="FU117">
            <v>0</v>
          </cell>
          <cell r="FV117">
            <v>0</v>
          </cell>
          <cell r="FW117">
            <v>0</v>
          </cell>
          <cell r="FX117">
            <v>0</v>
          </cell>
          <cell r="FY117">
            <v>8.6007082999999991</v>
          </cell>
          <cell r="FZ117">
            <v>8.8944328000000006</v>
          </cell>
          <cell r="GA117">
            <v>0</v>
          </cell>
          <cell r="GB117">
            <v>0</v>
          </cell>
          <cell r="GC117">
            <v>0</v>
          </cell>
          <cell r="GD117">
            <v>0</v>
          </cell>
          <cell r="GE117" t="str">
            <v>nd</v>
          </cell>
          <cell r="GF117">
            <v>0</v>
          </cell>
          <cell r="GG117" t="str">
            <v>nd</v>
          </cell>
          <cell r="GH117" t="str">
            <v>nd</v>
          </cell>
          <cell r="GI117" t="str">
            <v>nd</v>
          </cell>
          <cell r="GJ117">
            <v>9.8553821999999993</v>
          </cell>
          <cell r="GK117" t="str">
            <v>nd</v>
          </cell>
          <cell r="GL117">
            <v>0</v>
          </cell>
          <cell r="GM117">
            <v>0</v>
          </cell>
          <cell r="GN117" t="str">
            <v>nd</v>
          </cell>
          <cell r="GO117" t="str">
            <v>nd</v>
          </cell>
          <cell r="GP117" t="str">
            <v>nd</v>
          </cell>
          <cell r="GQ117">
            <v>7.6034854000000003</v>
          </cell>
          <cell r="GR117">
            <v>0</v>
          </cell>
          <cell r="GS117">
            <v>0</v>
          </cell>
          <cell r="GT117">
            <v>0</v>
          </cell>
          <cell r="GU117" t="str">
            <v>nd</v>
          </cell>
          <cell r="GV117" t="str">
            <v>nd</v>
          </cell>
          <cell r="GW117">
            <v>19.9305439</v>
          </cell>
          <cell r="GX117">
            <v>0</v>
          </cell>
          <cell r="GY117">
            <v>0</v>
          </cell>
          <cell r="GZ117">
            <v>0</v>
          </cell>
          <cell r="HA117" t="str">
            <v>nd</v>
          </cell>
          <cell r="HB117" t="str">
            <v>nd</v>
          </cell>
          <cell r="HC117">
            <v>14.201862200000001</v>
          </cell>
          <cell r="HD117">
            <v>0</v>
          </cell>
          <cell r="HE117" t="str">
            <v>nd</v>
          </cell>
          <cell r="HF117">
            <v>0</v>
          </cell>
          <cell r="HG117">
            <v>0</v>
          </cell>
          <cell r="HH117">
            <v>0</v>
          </cell>
          <cell r="HI117">
            <v>0</v>
          </cell>
          <cell r="HJ117">
            <v>0</v>
          </cell>
          <cell r="HK117">
            <v>0</v>
          </cell>
          <cell r="HL117" t="str">
            <v>nd</v>
          </cell>
          <cell r="HM117">
            <v>25.3002173</v>
          </cell>
          <cell r="HN117">
            <v>0</v>
          </cell>
          <cell r="HO117">
            <v>0</v>
          </cell>
          <cell r="HP117">
            <v>0</v>
          </cell>
          <cell r="HQ117">
            <v>0</v>
          </cell>
          <cell r="HR117" t="str">
            <v>nd</v>
          </cell>
          <cell r="HS117">
            <v>10.3483006</v>
          </cell>
          <cell r="HT117">
            <v>4.49186</v>
          </cell>
          <cell r="HU117">
            <v>0</v>
          </cell>
          <cell r="HV117">
            <v>0</v>
          </cell>
          <cell r="HW117">
            <v>0</v>
          </cell>
          <cell r="HX117" t="str">
            <v>nd</v>
          </cell>
          <cell r="HY117">
            <v>25.265012899999999</v>
          </cell>
          <cell r="HZ117" t="str">
            <v>nd</v>
          </cell>
          <cell r="IA117">
            <v>0</v>
          </cell>
          <cell r="IB117">
            <v>0</v>
          </cell>
          <cell r="IC117">
            <v>0</v>
          </cell>
          <cell r="ID117" t="str">
            <v>nd</v>
          </cell>
          <cell r="IE117">
            <v>16.409706800000002</v>
          </cell>
          <cell r="IF117">
            <v>0</v>
          </cell>
          <cell r="IG117">
            <v>0</v>
          </cell>
          <cell r="IH117" t="str">
            <v>nd</v>
          </cell>
          <cell r="II117">
            <v>0</v>
          </cell>
          <cell r="IJ117">
            <v>0</v>
          </cell>
          <cell r="IK117">
            <v>0</v>
          </cell>
          <cell r="IL117">
            <v>0</v>
          </cell>
          <cell r="IM117">
            <v>0</v>
          </cell>
          <cell r="IN117" t="str">
            <v>nd</v>
          </cell>
          <cell r="IO117" t="str">
            <v>nd</v>
          </cell>
          <cell r="IP117">
            <v>20.688873999999998</v>
          </cell>
          <cell r="IQ117" t="str">
            <v>nd</v>
          </cell>
          <cell r="IR117">
            <v>0</v>
          </cell>
          <cell r="IS117">
            <v>0</v>
          </cell>
          <cell r="IT117">
            <v>0</v>
          </cell>
          <cell r="IU117">
            <v>5.2132699999999996</v>
          </cell>
          <cell r="IV117">
            <v>11.013783</v>
          </cell>
          <cell r="IW117">
            <v>0</v>
          </cell>
          <cell r="IX117">
            <v>0</v>
          </cell>
          <cell r="IY117">
            <v>0</v>
          </cell>
          <cell r="IZ117">
            <v>0</v>
          </cell>
          <cell r="JA117" t="str">
            <v>nd</v>
          </cell>
          <cell r="JB117">
            <v>26.077366099999999</v>
          </cell>
          <cell r="JC117" t="str">
            <v>nd</v>
          </cell>
          <cell r="JD117">
            <v>0</v>
          </cell>
          <cell r="JE117">
            <v>0</v>
          </cell>
          <cell r="JF117">
            <v>0</v>
          </cell>
          <cell r="JG117">
            <v>0</v>
          </cell>
          <cell r="JH117">
            <v>8.5545515999999999</v>
          </cell>
          <cell r="JI117">
            <v>9.236164800000001</v>
          </cell>
          <cell r="JJ117">
            <v>0</v>
          </cell>
          <cell r="JK117">
            <v>0</v>
          </cell>
          <cell r="JL117">
            <v>0</v>
          </cell>
          <cell r="JM117">
            <v>0</v>
          </cell>
          <cell r="JN117" t="str">
            <v>nd</v>
          </cell>
          <cell r="JO117">
            <v>0</v>
          </cell>
          <cell r="JP117">
            <v>0</v>
          </cell>
          <cell r="JQ117">
            <v>0</v>
          </cell>
          <cell r="JR117">
            <v>0</v>
          </cell>
          <cell r="JS117">
            <v>0</v>
          </cell>
          <cell r="JT117">
            <v>29.2223018</v>
          </cell>
          <cell r="JU117">
            <v>0</v>
          </cell>
          <cell r="JV117">
            <v>0</v>
          </cell>
          <cell r="JW117">
            <v>0</v>
          </cell>
          <cell r="JX117">
            <v>0</v>
          </cell>
          <cell r="JY117">
            <v>0</v>
          </cell>
          <cell r="JZ117">
            <v>16.417905099999999</v>
          </cell>
          <cell r="KA117">
            <v>0</v>
          </cell>
          <cell r="KB117">
            <v>0</v>
          </cell>
          <cell r="KC117">
            <v>0</v>
          </cell>
          <cell r="KD117">
            <v>0</v>
          </cell>
          <cell r="KE117">
            <v>0</v>
          </cell>
          <cell r="KF117">
            <v>33.248148900000004</v>
          </cell>
          <cell r="KG117">
            <v>0</v>
          </cell>
          <cell r="KH117">
            <v>0</v>
          </cell>
          <cell r="KI117">
            <v>0</v>
          </cell>
          <cell r="KJ117">
            <v>0</v>
          </cell>
          <cell r="KK117" t="str">
            <v>nd</v>
          </cell>
          <cell r="KL117">
            <v>17.3449049</v>
          </cell>
          <cell r="KM117">
            <v>61.1</v>
          </cell>
          <cell r="KN117">
            <v>16.8</v>
          </cell>
          <cell r="KO117">
            <v>7.6</v>
          </cell>
          <cell r="KP117">
            <v>6.9</v>
          </cell>
          <cell r="KQ117">
            <v>7.6</v>
          </cell>
          <cell r="KR117">
            <v>0</v>
          </cell>
          <cell r="KS117">
            <v>59.099999999999994</v>
          </cell>
          <cell r="KT117">
            <v>17.399999999999999</v>
          </cell>
          <cell r="KU117">
            <v>7.9</v>
          </cell>
          <cell r="KV117">
            <v>7.7</v>
          </cell>
          <cell r="KW117">
            <v>7.9</v>
          </cell>
          <cell r="KX117">
            <v>0</v>
          </cell>
          <cell r="KY117"/>
          <cell r="KZ117"/>
          <cell r="LA117"/>
          <cell r="LB117"/>
          <cell r="LC117"/>
          <cell r="LD117"/>
          <cell r="LE117"/>
          <cell r="LF117"/>
          <cell r="LG117"/>
          <cell r="LH117"/>
          <cell r="LI117"/>
          <cell r="LJ117"/>
          <cell r="LK117"/>
          <cell r="LL117"/>
          <cell r="LM117"/>
          <cell r="LN117"/>
          <cell r="LO117"/>
        </row>
        <row r="118">
          <cell r="A118" t="str">
            <v>6RU</v>
          </cell>
          <cell r="B118" t="str">
            <v>118</v>
          </cell>
          <cell r="C118" t="str">
            <v>NAF 17</v>
          </cell>
          <cell r="D118" t="str">
            <v>RU</v>
          </cell>
          <cell r="E118" t="str">
            <v>6</v>
          </cell>
          <cell r="F118">
            <v>0</v>
          </cell>
          <cell r="G118">
            <v>19.2</v>
          </cell>
          <cell r="H118">
            <v>34.300000000000004</v>
          </cell>
          <cell r="I118">
            <v>44.2</v>
          </cell>
          <cell r="J118">
            <v>2.2999999999999998</v>
          </cell>
          <cell r="K118">
            <v>22.8</v>
          </cell>
          <cell r="L118">
            <v>37.9</v>
          </cell>
          <cell r="M118">
            <v>0</v>
          </cell>
          <cell r="N118">
            <v>39.4</v>
          </cell>
          <cell r="O118">
            <v>21.3</v>
          </cell>
          <cell r="P118">
            <v>60.199999999999996</v>
          </cell>
          <cell r="Q118">
            <v>9.6</v>
          </cell>
          <cell r="R118">
            <v>3.4000000000000004</v>
          </cell>
          <cell r="S118">
            <v>5.2</v>
          </cell>
          <cell r="T118">
            <v>14.799999999999999</v>
          </cell>
          <cell r="U118">
            <v>10</v>
          </cell>
          <cell r="V118">
            <v>31.3</v>
          </cell>
          <cell r="W118">
            <v>15.7</v>
          </cell>
          <cell r="X118">
            <v>82</v>
          </cell>
          <cell r="Y118">
            <v>2.1999999999999997</v>
          </cell>
          <cell r="Z118">
            <v>0</v>
          </cell>
          <cell r="AA118">
            <v>64.600000000000009</v>
          </cell>
          <cell r="AB118">
            <v>0</v>
          </cell>
          <cell r="AC118">
            <v>86.7</v>
          </cell>
          <cell r="AD118" t="str">
            <v>nd</v>
          </cell>
          <cell r="AE118">
            <v>59.199999999999996</v>
          </cell>
          <cell r="AF118">
            <v>40.799999999999997</v>
          </cell>
          <cell r="AG118">
            <v>90</v>
          </cell>
          <cell r="AH118">
            <v>10</v>
          </cell>
          <cell r="AI118">
            <v>21.4</v>
          </cell>
          <cell r="AJ118">
            <v>25.6</v>
          </cell>
          <cell r="AK118" t="str">
            <v>nd</v>
          </cell>
          <cell r="AL118">
            <v>48.5</v>
          </cell>
          <cell r="AM118">
            <v>0</v>
          </cell>
          <cell r="AN118" t="str">
            <v>nd</v>
          </cell>
          <cell r="AO118" t="str">
            <v>nd</v>
          </cell>
          <cell r="AP118" t="str">
            <v>nd</v>
          </cell>
          <cell r="AQ118">
            <v>81.2</v>
          </cell>
          <cell r="AR118" t="str">
            <v>nd</v>
          </cell>
          <cell r="AS118">
            <v>27.200000000000003</v>
          </cell>
          <cell r="AT118">
            <v>32.9</v>
          </cell>
          <cell r="AU118">
            <v>6.8000000000000007</v>
          </cell>
          <cell r="AV118">
            <v>12.7</v>
          </cell>
          <cell r="AW118">
            <v>17.100000000000001</v>
          </cell>
          <cell r="AX118" t="str">
            <v>nd</v>
          </cell>
          <cell r="AY118">
            <v>15.7</v>
          </cell>
          <cell r="AZ118">
            <v>9.1999999999999993</v>
          </cell>
          <cell r="BA118">
            <v>17.299999999999997</v>
          </cell>
          <cell r="BB118">
            <v>6.9</v>
          </cell>
          <cell r="BC118">
            <v>43.2</v>
          </cell>
          <cell r="BD118">
            <v>7.6</v>
          </cell>
          <cell r="BE118" t="str">
            <v>nd</v>
          </cell>
          <cell r="BF118" t="str">
            <v>nd</v>
          </cell>
          <cell r="BG118">
            <v>17.2</v>
          </cell>
          <cell r="BH118">
            <v>1.9</v>
          </cell>
          <cell r="BI118">
            <v>34.699999999999996</v>
          </cell>
          <cell r="BJ118">
            <v>39.200000000000003</v>
          </cell>
          <cell r="BK118">
            <v>0</v>
          </cell>
          <cell r="BL118">
            <v>0</v>
          </cell>
          <cell r="BM118">
            <v>0</v>
          </cell>
          <cell r="BN118">
            <v>5.3</v>
          </cell>
          <cell r="BO118">
            <v>81.5</v>
          </cell>
          <cell r="BP118">
            <v>13.100000000000001</v>
          </cell>
          <cell r="BQ118">
            <v>0</v>
          </cell>
          <cell r="BR118">
            <v>0</v>
          </cell>
          <cell r="BS118">
            <v>0</v>
          </cell>
          <cell r="BT118">
            <v>12.4</v>
          </cell>
          <cell r="BU118">
            <v>81.3</v>
          </cell>
          <cell r="BV118">
            <v>6.3</v>
          </cell>
          <cell r="BW118">
            <v>0</v>
          </cell>
          <cell r="BX118">
            <v>0</v>
          </cell>
          <cell r="BY118">
            <v>0</v>
          </cell>
          <cell r="BZ118">
            <v>0</v>
          </cell>
          <cell r="CA118">
            <v>0</v>
          </cell>
          <cell r="CB118">
            <v>100</v>
          </cell>
          <cell r="CC118">
            <v>5.8000000000000007</v>
          </cell>
          <cell r="CD118">
            <v>5.3</v>
          </cell>
          <cell r="CE118">
            <v>3.1</v>
          </cell>
          <cell r="CF118">
            <v>1.4000000000000001</v>
          </cell>
          <cell r="CG118">
            <v>0</v>
          </cell>
          <cell r="CH118">
            <v>4.5</v>
          </cell>
          <cell r="CI118">
            <v>3.8</v>
          </cell>
          <cell r="CJ118">
            <v>88.1</v>
          </cell>
          <cell r="CK118">
            <v>29.5</v>
          </cell>
          <cell r="CL118">
            <v>3.8</v>
          </cell>
          <cell r="CM118">
            <v>2.4</v>
          </cell>
          <cell r="CN118" t="str">
            <v>nd</v>
          </cell>
          <cell r="CO118">
            <v>68.100000000000009</v>
          </cell>
          <cell r="CP118">
            <v>25.6</v>
          </cell>
          <cell r="CQ118">
            <v>23.7</v>
          </cell>
          <cell r="CR118">
            <v>7.5</v>
          </cell>
          <cell r="CS118">
            <v>43.2</v>
          </cell>
          <cell r="CT118">
            <v>35.6</v>
          </cell>
          <cell r="CU118">
            <v>64.400000000000006</v>
          </cell>
          <cell r="CV118">
            <v>30.3</v>
          </cell>
          <cell r="CW118">
            <v>69.699999999999989</v>
          </cell>
          <cell r="CX118">
            <v>19.2</v>
          </cell>
          <cell r="CY118">
            <v>5.4</v>
          </cell>
          <cell r="CZ118">
            <v>75.400000000000006</v>
          </cell>
          <cell r="DA118">
            <v>40.300000000000004</v>
          </cell>
          <cell r="DB118">
            <v>12</v>
          </cell>
          <cell r="DC118">
            <v>13.100000000000001</v>
          </cell>
          <cell r="DD118" t="str">
            <v>nd</v>
          </cell>
          <cell r="DE118" t="str">
            <v>nd</v>
          </cell>
          <cell r="DF118">
            <v>26.700000000000003</v>
          </cell>
          <cell r="DG118">
            <v>23.9</v>
          </cell>
          <cell r="DH118">
            <v>17.2</v>
          </cell>
          <cell r="DI118">
            <v>7.9</v>
          </cell>
          <cell r="DJ118">
            <v>8.3000000000000007</v>
          </cell>
          <cell r="DK118">
            <v>16</v>
          </cell>
          <cell r="DL118">
            <v>21.099999999999998</v>
          </cell>
          <cell r="DM118">
            <v>21.4</v>
          </cell>
          <cell r="DN118">
            <v>7.9</v>
          </cell>
          <cell r="DO118">
            <v>52.7</v>
          </cell>
          <cell r="DP118">
            <v>14.000000000000002</v>
          </cell>
          <cell r="DQ118">
            <v>7.3999999999999995</v>
          </cell>
          <cell r="DR118">
            <v>4.5999999999999996</v>
          </cell>
          <cell r="DS118">
            <v>18.399999999999999</v>
          </cell>
          <cell r="DT118">
            <v>10.7</v>
          </cell>
          <cell r="DU118">
            <v>0</v>
          </cell>
          <cell r="DV118">
            <v>0</v>
          </cell>
          <cell r="DW118">
            <v>0</v>
          </cell>
          <cell r="DX118">
            <v>0</v>
          </cell>
          <cell r="DY118">
            <v>0</v>
          </cell>
          <cell r="DZ118" t="str">
            <v>nd</v>
          </cell>
          <cell r="EA118" t="str">
            <v>nd</v>
          </cell>
          <cell r="EB118" t="str">
            <v>nd</v>
          </cell>
          <cell r="EC118">
            <v>4.2741199999999999</v>
          </cell>
          <cell r="ED118" t="str">
            <v>nd</v>
          </cell>
          <cell r="EE118" t="str">
            <v>nd</v>
          </cell>
          <cell r="EF118">
            <v>6.9155742000000009</v>
          </cell>
          <cell r="EG118">
            <v>18.243335399999999</v>
          </cell>
          <cell r="EH118" t="str">
            <v>nd</v>
          </cell>
          <cell r="EI118">
            <v>4.5668800000000003</v>
          </cell>
          <cell r="EJ118" t="str">
            <v>nd</v>
          </cell>
          <cell r="EK118">
            <v>0</v>
          </cell>
          <cell r="EL118">
            <v>14.1839926</v>
          </cell>
          <cell r="EM118">
            <v>12.748180000000001</v>
          </cell>
          <cell r="EN118">
            <v>0</v>
          </cell>
          <cell r="EO118" t="str">
            <v>nd</v>
          </cell>
          <cell r="EP118">
            <v>13.361814599999999</v>
          </cell>
          <cell r="EQ118">
            <v>0</v>
          </cell>
          <cell r="ER118">
            <v>2.28241</v>
          </cell>
          <cell r="ES118">
            <v>0</v>
          </cell>
          <cell r="ET118">
            <v>0</v>
          </cell>
          <cell r="EU118">
            <v>0</v>
          </cell>
          <cell r="EV118">
            <v>0</v>
          </cell>
          <cell r="EW118">
            <v>0</v>
          </cell>
          <cell r="EX118">
            <v>0</v>
          </cell>
          <cell r="EY118">
            <v>0</v>
          </cell>
          <cell r="EZ118">
            <v>0</v>
          </cell>
          <cell r="FA118">
            <v>0</v>
          </cell>
          <cell r="FB118">
            <v>0</v>
          </cell>
          <cell r="FC118">
            <v>0</v>
          </cell>
          <cell r="FD118" t="str">
            <v>nd</v>
          </cell>
          <cell r="FE118" t="str">
            <v>nd</v>
          </cell>
          <cell r="FF118">
            <v>0</v>
          </cell>
          <cell r="FG118">
            <v>12.284212399999999</v>
          </cell>
          <cell r="FH118" t="str">
            <v>nd</v>
          </cell>
          <cell r="FI118" t="str">
            <v>nd</v>
          </cell>
          <cell r="FJ118" t="str">
            <v>nd</v>
          </cell>
          <cell r="FK118">
            <v>3.84863</v>
          </cell>
          <cell r="FL118">
            <v>5.5198799999999997</v>
          </cell>
          <cell r="FM118">
            <v>17.8806911</v>
          </cell>
          <cell r="FN118" t="str">
            <v>nd</v>
          </cell>
          <cell r="FO118">
            <v>11.9498032</v>
          </cell>
          <cell r="FP118">
            <v>4.4763299999999999</v>
          </cell>
          <cell r="FQ118">
            <v>10.816860800000001</v>
          </cell>
          <cell r="FR118">
            <v>1.40934</v>
          </cell>
          <cell r="FS118">
            <v>11.4863427</v>
          </cell>
          <cell r="FT118">
            <v>4.0045099999999998</v>
          </cell>
          <cell r="FU118">
            <v>0</v>
          </cell>
          <cell r="FV118">
            <v>0</v>
          </cell>
          <cell r="FW118">
            <v>0</v>
          </cell>
          <cell r="FX118">
            <v>0</v>
          </cell>
          <cell r="FY118" t="str">
            <v>nd</v>
          </cell>
          <cell r="FZ118" t="str">
            <v>nd</v>
          </cell>
          <cell r="GA118">
            <v>0</v>
          </cell>
          <cell r="GB118">
            <v>0</v>
          </cell>
          <cell r="GC118">
            <v>0</v>
          </cell>
          <cell r="GD118">
            <v>0</v>
          </cell>
          <cell r="GE118">
            <v>0</v>
          </cell>
          <cell r="GF118" t="str">
            <v>nd</v>
          </cell>
          <cell r="GG118" t="str">
            <v>nd</v>
          </cell>
          <cell r="GH118" t="str">
            <v>nd</v>
          </cell>
          <cell r="GI118">
            <v>0</v>
          </cell>
          <cell r="GJ118">
            <v>7.6892332999999997</v>
          </cell>
          <cell r="GK118" t="str">
            <v>nd</v>
          </cell>
          <cell r="GL118">
            <v>0</v>
          </cell>
          <cell r="GM118">
            <v>0</v>
          </cell>
          <cell r="GN118" t="str">
            <v>nd</v>
          </cell>
          <cell r="GO118">
            <v>1.8552599999999999</v>
          </cell>
          <cell r="GP118">
            <v>7.8314115000000006</v>
          </cell>
          <cell r="GQ118">
            <v>9.5129936999999991</v>
          </cell>
          <cell r="GR118">
            <v>0</v>
          </cell>
          <cell r="GS118">
            <v>0</v>
          </cell>
          <cell r="GT118">
            <v>0</v>
          </cell>
          <cell r="GU118">
            <v>0</v>
          </cell>
          <cell r="GV118">
            <v>16.843439499999999</v>
          </cell>
          <cell r="GW118">
            <v>27.5104583</v>
          </cell>
          <cell r="GX118">
            <v>0</v>
          </cell>
          <cell r="GY118">
            <v>0</v>
          </cell>
          <cell r="GZ118">
            <v>0</v>
          </cell>
          <cell r="HA118">
            <v>0</v>
          </cell>
          <cell r="HB118">
            <v>2.2884799999999998</v>
          </cell>
          <cell r="HC118">
            <v>0</v>
          </cell>
          <cell r="HD118">
            <v>0</v>
          </cell>
          <cell r="HE118">
            <v>0</v>
          </cell>
          <cell r="HF118">
            <v>0</v>
          </cell>
          <cell r="HG118">
            <v>0</v>
          </cell>
          <cell r="HH118">
            <v>0</v>
          </cell>
          <cell r="HI118">
            <v>0</v>
          </cell>
          <cell r="HJ118">
            <v>0</v>
          </cell>
          <cell r="HK118">
            <v>0</v>
          </cell>
          <cell r="HL118" t="str">
            <v>nd</v>
          </cell>
          <cell r="HM118">
            <v>8.6097994999999994</v>
          </cell>
          <cell r="HN118">
            <v>9.4194870999999996</v>
          </cell>
          <cell r="HO118">
            <v>0</v>
          </cell>
          <cell r="HP118">
            <v>0</v>
          </cell>
          <cell r="HQ118">
            <v>0</v>
          </cell>
          <cell r="HR118">
            <v>2.8179500000000002</v>
          </cell>
          <cell r="HS118">
            <v>31.556433000000002</v>
          </cell>
          <cell r="HT118">
            <v>0</v>
          </cell>
          <cell r="HU118">
            <v>0</v>
          </cell>
          <cell r="HV118">
            <v>0</v>
          </cell>
          <cell r="HW118">
            <v>0</v>
          </cell>
          <cell r="HX118" t="str">
            <v>nd</v>
          </cell>
          <cell r="HY118">
            <v>39.065505700000003</v>
          </cell>
          <cell r="HZ118">
            <v>3.7278500000000001</v>
          </cell>
          <cell r="IA118">
            <v>0</v>
          </cell>
          <cell r="IB118">
            <v>0</v>
          </cell>
          <cell r="IC118">
            <v>0</v>
          </cell>
          <cell r="ID118">
            <v>0</v>
          </cell>
          <cell r="IE118">
            <v>2.29637</v>
          </cell>
          <cell r="IF118">
            <v>0</v>
          </cell>
          <cell r="IG118">
            <v>0</v>
          </cell>
          <cell r="IH118">
            <v>0</v>
          </cell>
          <cell r="II118">
            <v>0</v>
          </cell>
          <cell r="IJ118">
            <v>0</v>
          </cell>
          <cell r="IK118">
            <v>0</v>
          </cell>
          <cell r="IL118">
            <v>0</v>
          </cell>
          <cell r="IM118">
            <v>0</v>
          </cell>
          <cell r="IN118">
            <v>0</v>
          </cell>
          <cell r="IO118" t="str">
            <v>nd</v>
          </cell>
          <cell r="IP118">
            <v>10.5028281</v>
          </cell>
          <cell r="IQ118" t="str">
            <v>nd</v>
          </cell>
          <cell r="IR118">
            <v>0</v>
          </cell>
          <cell r="IS118">
            <v>0</v>
          </cell>
          <cell r="IT118">
            <v>0</v>
          </cell>
          <cell r="IU118" t="str">
            <v>nd</v>
          </cell>
          <cell r="IV118">
            <v>29.376748600000003</v>
          </cell>
          <cell r="IW118" t="str">
            <v>nd</v>
          </cell>
          <cell r="IX118">
            <v>0</v>
          </cell>
          <cell r="IY118">
            <v>0</v>
          </cell>
          <cell r="IZ118">
            <v>0</v>
          </cell>
          <cell r="JA118">
            <v>3.3839899999999998</v>
          </cell>
          <cell r="JB118">
            <v>39.024591700000002</v>
          </cell>
          <cell r="JC118">
            <v>1.6168899999999999</v>
          </cell>
          <cell r="JD118">
            <v>0</v>
          </cell>
          <cell r="JE118">
            <v>0</v>
          </cell>
          <cell r="JF118">
            <v>0</v>
          </cell>
          <cell r="JG118">
            <v>0</v>
          </cell>
          <cell r="JH118">
            <v>2.3910299999999998</v>
          </cell>
          <cell r="JI118">
            <v>0</v>
          </cell>
          <cell r="JJ118">
            <v>0</v>
          </cell>
          <cell r="JK118">
            <v>0</v>
          </cell>
          <cell r="JL118">
            <v>0</v>
          </cell>
          <cell r="JM118">
            <v>0</v>
          </cell>
          <cell r="JN118">
            <v>0</v>
          </cell>
          <cell r="JO118">
            <v>0</v>
          </cell>
          <cell r="JP118">
            <v>0</v>
          </cell>
          <cell r="JQ118">
            <v>0</v>
          </cell>
          <cell r="JR118">
            <v>0</v>
          </cell>
          <cell r="JS118">
            <v>0</v>
          </cell>
          <cell r="JT118">
            <v>19.443903500000001</v>
          </cell>
          <cell r="JU118">
            <v>0</v>
          </cell>
          <cell r="JV118">
            <v>0</v>
          </cell>
          <cell r="JW118">
            <v>0</v>
          </cell>
          <cell r="JX118">
            <v>0</v>
          </cell>
          <cell r="JY118">
            <v>0</v>
          </cell>
          <cell r="JZ118">
            <v>35.119762199999997</v>
          </cell>
          <cell r="KA118">
            <v>0</v>
          </cell>
          <cell r="KB118">
            <v>0</v>
          </cell>
          <cell r="KC118">
            <v>0</v>
          </cell>
          <cell r="KD118">
            <v>0</v>
          </cell>
          <cell r="KE118">
            <v>0</v>
          </cell>
          <cell r="KF118">
            <v>43.095391300000003</v>
          </cell>
          <cell r="KG118">
            <v>0</v>
          </cell>
          <cell r="KH118">
            <v>0</v>
          </cell>
          <cell r="KI118">
            <v>0</v>
          </cell>
          <cell r="KJ118">
            <v>0</v>
          </cell>
          <cell r="KK118">
            <v>0</v>
          </cell>
          <cell r="KL118">
            <v>2.3409400000000002</v>
          </cell>
          <cell r="KM118">
            <v>46.800000000000004</v>
          </cell>
          <cell r="KN118">
            <v>29.599999999999998</v>
          </cell>
          <cell r="KO118">
            <v>13</v>
          </cell>
          <cell r="KP118">
            <v>4.5999999999999996</v>
          </cell>
          <cell r="KQ118">
            <v>5.8999999999999995</v>
          </cell>
          <cell r="KR118">
            <v>0</v>
          </cell>
          <cell r="KS118">
            <v>47.9</v>
          </cell>
          <cell r="KT118">
            <v>28.199999999999996</v>
          </cell>
          <cell r="KU118">
            <v>12.2</v>
          </cell>
          <cell r="KV118">
            <v>5</v>
          </cell>
          <cell r="KW118">
            <v>6.8000000000000007</v>
          </cell>
          <cell r="KX118">
            <v>0</v>
          </cell>
          <cell r="KY118"/>
          <cell r="KZ118"/>
          <cell r="LA118"/>
          <cell r="LB118"/>
          <cell r="LC118"/>
          <cell r="LD118"/>
          <cell r="LE118"/>
          <cell r="LF118"/>
          <cell r="LG118"/>
          <cell r="LH118"/>
          <cell r="LI118"/>
          <cell r="LJ118"/>
          <cell r="LK118"/>
          <cell r="LL118"/>
          <cell r="LM118"/>
          <cell r="LN118"/>
          <cell r="LO118"/>
        </row>
        <row r="119">
          <cell r="A119" t="str">
            <v>EnsBZ</v>
          </cell>
          <cell r="B119" t="str">
            <v>119</v>
          </cell>
          <cell r="C119" t="str">
            <v>NAF 38</v>
          </cell>
          <cell r="D119" t="str">
            <v>BZ</v>
          </cell>
          <cell r="E119" t="str">
            <v/>
          </cell>
          <cell r="F119">
            <v>0</v>
          </cell>
          <cell r="G119">
            <v>0</v>
          </cell>
          <cell r="H119">
            <v>28.7</v>
          </cell>
          <cell r="I119">
            <v>64.400000000000006</v>
          </cell>
          <cell r="J119">
            <v>6.9</v>
          </cell>
          <cell r="K119">
            <v>77.7</v>
          </cell>
          <cell r="L119">
            <v>0</v>
          </cell>
          <cell r="M119" t="str">
            <v>nd</v>
          </cell>
          <cell r="N119" t="str">
            <v>nd</v>
          </cell>
          <cell r="O119">
            <v>18.7</v>
          </cell>
          <cell r="P119" t="str">
            <v>nd</v>
          </cell>
          <cell r="Q119" t="str">
            <v>nd</v>
          </cell>
          <cell r="R119">
            <v>33.800000000000004</v>
          </cell>
          <cell r="S119">
            <v>10</v>
          </cell>
          <cell r="T119">
            <v>28.7</v>
          </cell>
          <cell r="U119">
            <v>0</v>
          </cell>
          <cell r="V119">
            <v>12.4</v>
          </cell>
          <cell r="W119" t="str">
            <v>nd</v>
          </cell>
          <cell r="X119">
            <v>99.6</v>
          </cell>
          <cell r="Y119">
            <v>0</v>
          </cell>
          <cell r="Z119" t="str">
            <v>nd</v>
          </cell>
          <cell r="AA119">
            <v>0</v>
          </cell>
          <cell r="AB119">
            <v>0</v>
          </cell>
          <cell r="AC119">
            <v>0</v>
          </cell>
          <cell r="AD119">
            <v>0</v>
          </cell>
          <cell r="AE119">
            <v>60.199999999999996</v>
          </cell>
          <cell r="AF119">
            <v>39.800000000000004</v>
          </cell>
          <cell r="AG119">
            <v>98.8</v>
          </cell>
          <cell r="AH119" t="str">
            <v>nd</v>
          </cell>
          <cell r="AI119" t="str">
            <v>nd</v>
          </cell>
          <cell r="AJ119">
            <v>0</v>
          </cell>
          <cell r="AK119" t="str">
            <v>nd</v>
          </cell>
          <cell r="AL119">
            <v>58.9</v>
          </cell>
          <cell r="AM119">
            <v>16</v>
          </cell>
          <cell r="AN119">
            <v>0</v>
          </cell>
          <cell r="AO119">
            <v>0</v>
          </cell>
          <cell r="AP119">
            <v>0</v>
          </cell>
          <cell r="AQ119">
            <v>96.8</v>
          </cell>
          <cell r="AR119" t="str">
            <v>nd</v>
          </cell>
          <cell r="AS119">
            <v>91.9</v>
          </cell>
          <cell r="AT119" t="str">
            <v>nd</v>
          </cell>
          <cell r="AU119">
            <v>0</v>
          </cell>
          <cell r="AV119">
            <v>0</v>
          </cell>
          <cell r="AW119">
            <v>0</v>
          </cell>
          <cell r="AX119" t="str">
            <v>nd</v>
          </cell>
          <cell r="AY119">
            <v>0</v>
          </cell>
          <cell r="AZ119">
            <v>0</v>
          </cell>
          <cell r="BA119" t="str">
            <v>nd</v>
          </cell>
          <cell r="BB119">
            <v>10.4</v>
          </cell>
          <cell r="BC119">
            <v>45.300000000000004</v>
          </cell>
          <cell r="BD119">
            <v>43.3</v>
          </cell>
          <cell r="BE119">
            <v>0</v>
          </cell>
          <cell r="BF119">
            <v>0</v>
          </cell>
          <cell r="BG119">
            <v>0</v>
          </cell>
          <cell r="BH119" t="str">
            <v>nd</v>
          </cell>
          <cell r="BI119">
            <v>36.1</v>
          </cell>
          <cell r="BJ119">
            <v>57.099999999999994</v>
          </cell>
          <cell r="BK119">
            <v>0</v>
          </cell>
          <cell r="BL119">
            <v>0</v>
          </cell>
          <cell r="BM119">
            <v>0</v>
          </cell>
          <cell r="BN119" t="str">
            <v>nd</v>
          </cell>
          <cell r="BO119">
            <v>55.900000000000006</v>
          </cell>
          <cell r="BP119">
            <v>40</v>
          </cell>
          <cell r="BQ119">
            <v>0</v>
          </cell>
          <cell r="BR119">
            <v>0</v>
          </cell>
          <cell r="BS119">
            <v>0</v>
          </cell>
          <cell r="BT119" t="str">
            <v>nd</v>
          </cell>
          <cell r="BU119">
            <v>59.699999999999996</v>
          </cell>
          <cell r="BV119">
            <v>37.700000000000003</v>
          </cell>
          <cell r="BW119">
            <v>0</v>
          </cell>
          <cell r="BX119">
            <v>0</v>
          </cell>
          <cell r="BY119">
            <v>0</v>
          </cell>
          <cell r="BZ119">
            <v>0</v>
          </cell>
          <cell r="CA119">
            <v>0</v>
          </cell>
          <cell r="CB119">
            <v>100</v>
          </cell>
          <cell r="CC119" t="str">
            <v>nd</v>
          </cell>
          <cell r="CD119">
            <v>13.3</v>
          </cell>
          <cell r="CE119">
            <v>0</v>
          </cell>
          <cell r="CF119">
            <v>0</v>
          </cell>
          <cell r="CG119">
            <v>0</v>
          </cell>
          <cell r="CH119">
            <v>23.400000000000002</v>
          </cell>
          <cell r="CI119" t="str">
            <v>nd</v>
          </cell>
          <cell r="CJ119">
            <v>56.499999999999993</v>
          </cell>
          <cell r="CK119">
            <v>56.8</v>
          </cell>
          <cell r="CL119">
            <v>0</v>
          </cell>
          <cell r="CM119">
            <v>0</v>
          </cell>
          <cell r="CN119">
            <v>0</v>
          </cell>
          <cell r="CO119">
            <v>43.2</v>
          </cell>
          <cell r="CP119">
            <v>26.5</v>
          </cell>
          <cell r="CQ119">
            <v>49.7</v>
          </cell>
          <cell r="CR119">
            <v>0</v>
          </cell>
          <cell r="CS119">
            <v>23.799999999999997</v>
          </cell>
          <cell r="CT119" t="str">
            <v>nd</v>
          </cell>
          <cell r="CU119">
            <v>93.2</v>
          </cell>
          <cell r="CV119" t="str">
            <v>nd</v>
          </cell>
          <cell r="CW119">
            <v>96.399999999999991</v>
          </cell>
          <cell r="CX119">
            <v>16.3</v>
          </cell>
          <cell r="CY119">
            <v>43.1</v>
          </cell>
          <cell r="CZ119">
            <v>40.699999999999996</v>
          </cell>
          <cell r="DA119" t="str">
            <v>nd</v>
          </cell>
          <cell r="DB119">
            <v>0</v>
          </cell>
          <cell r="DC119" t="str">
            <v>nd</v>
          </cell>
          <cell r="DD119">
            <v>0</v>
          </cell>
          <cell r="DE119" t="str">
            <v>nd</v>
          </cell>
          <cell r="DF119">
            <v>29.599999999999998</v>
          </cell>
          <cell r="DG119">
            <v>21</v>
          </cell>
          <cell r="DH119">
            <v>12.4</v>
          </cell>
          <cell r="DI119" t="str">
            <v>nd</v>
          </cell>
          <cell r="DJ119">
            <v>15.5</v>
          </cell>
          <cell r="DK119">
            <v>9.1999999999999993</v>
          </cell>
          <cell r="DL119">
            <v>24.6</v>
          </cell>
          <cell r="DM119">
            <v>41.099999999999994</v>
          </cell>
          <cell r="DN119">
            <v>0</v>
          </cell>
          <cell r="DO119" t="str">
            <v>nd</v>
          </cell>
          <cell r="DP119">
            <v>0</v>
          </cell>
          <cell r="DQ119">
            <v>0</v>
          </cell>
          <cell r="DR119">
            <v>16.400000000000002</v>
          </cell>
          <cell r="DS119" t="str">
            <v>nd</v>
          </cell>
          <cell r="DT119">
            <v>31.5</v>
          </cell>
          <cell r="DU119">
            <v>0</v>
          </cell>
          <cell r="DV119">
            <v>0</v>
          </cell>
          <cell r="DW119">
            <v>0</v>
          </cell>
          <cell r="DX119">
            <v>0</v>
          </cell>
          <cell r="DY119">
            <v>0</v>
          </cell>
          <cell r="DZ119">
            <v>0</v>
          </cell>
          <cell r="EA119">
            <v>0</v>
          </cell>
          <cell r="EB119">
            <v>0</v>
          </cell>
          <cell r="EC119">
            <v>0</v>
          </cell>
          <cell r="ED119">
            <v>0</v>
          </cell>
          <cell r="EE119">
            <v>0</v>
          </cell>
          <cell r="EF119">
            <v>21.575566299999998</v>
          </cell>
          <cell r="EG119" t="str">
            <v>nd</v>
          </cell>
          <cell r="EH119">
            <v>0</v>
          </cell>
          <cell r="EI119">
            <v>0</v>
          </cell>
          <cell r="EJ119">
            <v>0</v>
          </cell>
          <cell r="EK119" t="str">
            <v>nd</v>
          </cell>
          <cell r="EL119">
            <v>63.415985200000001</v>
          </cell>
          <cell r="EM119" t="str">
            <v>nd</v>
          </cell>
          <cell r="EN119">
            <v>0</v>
          </cell>
          <cell r="EO119">
            <v>0</v>
          </cell>
          <cell r="EP119">
            <v>0</v>
          </cell>
          <cell r="EQ119">
            <v>0</v>
          </cell>
          <cell r="ER119">
            <v>6.8725546</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cell r="FJ119">
            <v>0</v>
          </cell>
          <cell r="FK119">
            <v>0</v>
          </cell>
          <cell r="FL119" t="str">
            <v>nd</v>
          </cell>
          <cell r="FM119" t="str">
            <v>nd</v>
          </cell>
          <cell r="FN119" t="str">
            <v>nd</v>
          </cell>
          <cell r="FO119">
            <v>0</v>
          </cell>
          <cell r="FP119">
            <v>0</v>
          </cell>
          <cell r="FQ119" t="str">
            <v>nd</v>
          </cell>
          <cell r="FR119" t="str">
            <v>nd</v>
          </cell>
          <cell r="FS119">
            <v>27.681244900000003</v>
          </cell>
          <cell r="FT119">
            <v>32.486922499999999</v>
          </cell>
          <cell r="FU119">
            <v>0</v>
          </cell>
          <cell r="FV119">
            <v>0</v>
          </cell>
          <cell r="FW119">
            <v>0</v>
          </cell>
          <cell r="FX119">
            <v>0</v>
          </cell>
          <cell r="FY119" t="str">
            <v>nd</v>
          </cell>
          <cell r="FZ119" t="str">
            <v>nd</v>
          </cell>
          <cell r="GA119">
            <v>0</v>
          </cell>
          <cell r="GB119">
            <v>0</v>
          </cell>
          <cell r="GC119">
            <v>0</v>
          </cell>
          <cell r="GD119">
            <v>0</v>
          </cell>
          <cell r="GE119">
            <v>0</v>
          </cell>
          <cell r="GF119">
            <v>0</v>
          </cell>
          <cell r="GG119">
            <v>0</v>
          </cell>
          <cell r="GH119">
            <v>0</v>
          </cell>
          <cell r="GI119">
            <v>0</v>
          </cell>
          <cell r="GJ119">
            <v>0</v>
          </cell>
          <cell r="GK119">
            <v>0</v>
          </cell>
          <cell r="GL119">
            <v>0</v>
          </cell>
          <cell r="GM119">
            <v>0</v>
          </cell>
          <cell r="GN119">
            <v>0</v>
          </cell>
          <cell r="GO119">
            <v>0</v>
          </cell>
          <cell r="GP119">
            <v>13.549696899999999</v>
          </cell>
          <cell r="GQ119">
            <v>15.131429099999998</v>
          </cell>
          <cell r="GR119">
            <v>0</v>
          </cell>
          <cell r="GS119">
            <v>0</v>
          </cell>
          <cell r="GT119">
            <v>0</v>
          </cell>
          <cell r="GU119" t="str">
            <v>nd</v>
          </cell>
          <cell r="GV119">
            <v>22.534176899999999</v>
          </cell>
          <cell r="GW119">
            <v>38.664324700000002</v>
          </cell>
          <cell r="GX119">
            <v>0</v>
          </cell>
          <cell r="GY119">
            <v>0</v>
          </cell>
          <cell r="GZ119">
            <v>0</v>
          </cell>
          <cell r="HA119" t="str">
            <v>nd</v>
          </cell>
          <cell r="HB119">
            <v>0</v>
          </cell>
          <cell r="HC119" t="str">
            <v>nd</v>
          </cell>
          <cell r="HD119">
            <v>0</v>
          </cell>
          <cell r="HE119">
            <v>0</v>
          </cell>
          <cell r="HF119">
            <v>0</v>
          </cell>
          <cell r="HG119">
            <v>0</v>
          </cell>
          <cell r="HH119">
            <v>0</v>
          </cell>
          <cell r="HI119">
            <v>0</v>
          </cell>
          <cell r="HJ119">
            <v>0</v>
          </cell>
          <cell r="HK119">
            <v>0</v>
          </cell>
          <cell r="HL119">
            <v>0</v>
          </cell>
          <cell r="HM119">
            <v>0</v>
          </cell>
          <cell r="HN119">
            <v>0</v>
          </cell>
          <cell r="HO119">
            <v>0</v>
          </cell>
          <cell r="HP119">
            <v>0</v>
          </cell>
          <cell r="HQ119">
            <v>0</v>
          </cell>
          <cell r="HR119" t="str">
            <v>nd</v>
          </cell>
          <cell r="HS119">
            <v>12.633388100000001</v>
          </cell>
          <cell r="HT119" t="str">
            <v>nd</v>
          </cell>
          <cell r="HU119">
            <v>0</v>
          </cell>
          <cell r="HV119">
            <v>0</v>
          </cell>
          <cell r="HW119">
            <v>0</v>
          </cell>
          <cell r="HX119">
            <v>0</v>
          </cell>
          <cell r="HY119">
            <v>36.751962900000002</v>
          </cell>
          <cell r="HZ119">
            <v>27.0650777</v>
          </cell>
          <cell r="IA119">
            <v>0</v>
          </cell>
          <cell r="IB119">
            <v>0</v>
          </cell>
          <cell r="IC119">
            <v>0</v>
          </cell>
          <cell r="ID119">
            <v>0</v>
          </cell>
          <cell r="IE119">
            <v>6.5572159000000001</v>
          </cell>
          <cell r="IF119">
            <v>0</v>
          </cell>
          <cell r="IG119">
            <v>0</v>
          </cell>
          <cell r="IH119">
            <v>0</v>
          </cell>
          <cell r="II119">
            <v>0</v>
          </cell>
          <cell r="IJ119">
            <v>0</v>
          </cell>
          <cell r="IK119">
            <v>0</v>
          </cell>
          <cell r="IL119">
            <v>0</v>
          </cell>
          <cell r="IM119">
            <v>0</v>
          </cell>
          <cell r="IN119">
            <v>0</v>
          </cell>
          <cell r="IO119">
            <v>0</v>
          </cell>
          <cell r="IP119">
            <v>0</v>
          </cell>
          <cell r="IQ119">
            <v>0</v>
          </cell>
          <cell r="IR119">
            <v>0</v>
          </cell>
          <cell r="IS119">
            <v>0</v>
          </cell>
          <cell r="IT119">
            <v>0</v>
          </cell>
          <cell r="IU119">
            <v>0</v>
          </cell>
          <cell r="IV119" t="str">
            <v>nd</v>
          </cell>
          <cell r="IW119">
            <v>17.356240700000001</v>
          </cell>
          <cell r="IX119">
            <v>0</v>
          </cell>
          <cell r="IY119">
            <v>0</v>
          </cell>
          <cell r="IZ119">
            <v>0</v>
          </cell>
          <cell r="JA119" t="str">
            <v>nd</v>
          </cell>
          <cell r="JB119">
            <v>40.012074300000002</v>
          </cell>
          <cell r="JC119">
            <v>20.386847899999999</v>
          </cell>
          <cell r="JD119">
            <v>0</v>
          </cell>
          <cell r="JE119">
            <v>0</v>
          </cell>
          <cell r="JF119">
            <v>0</v>
          </cell>
          <cell r="JG119">
            <v>0</v>
          </cell>
          <cell r="JH119">
            <v>6.1391099999999996</v>
          </cell>
          <cell r="JI119">
            <v>0</v>
          </cell>
          <cell r="JJ119">
            <v>0</v>
          </cell>
          <cell r="JK119">
            <v>0</v>
          </cell>
          <cell r="JL119">
            <v>0</v>
          </cell>
          <cell r="JM119">
            <v>0</v>
          </cell>
          <cell r="JN119">
            <v>0</v>
          </cell>
          <cell r="JO119">
            <v>0</v>
          </cell>
          <cell r="JP119">
            <v>0</v>
          </cell>
          <cell r="JQ119">
            <v>0</v>
          </cell>
          <cell r="JR119">
            <v>0</v>
          </cell>
          <cell r="JS119">
            <v>0</v>
          </cell>
          <cell r="JT119">
            <v>0</v>
          </cell>
          <cell r="JU119">
            <v>0</v>
          </cell>
          <cell r="JV119">
            <v>0</v>
          </cell>
          <cell r="JW119">
            <v>0</v>
          </cell>
          <cell r="JX119">
            <v>0</v>
          </cell>
          <cell r="JY119">
            <v>0</v>
          </cell>
          <cell r="JZ119">
            <v>29.625743500000002</v>
          </cell>
          <cell r="KA119">
            <v>0</v>
          </cell>
          <cell r="KB119">
            <v>0</v>
          </cell>
          <cell r="KC119">
            <v>0</v>
          </cell>
          <cell r="KD119">
            <v>0</v>
          </cell>
          <cell r="KE119">
            <v>0</v>
          </cell>
          <cell r="KF119">
            <v>63.817040599999999</v>
          </cell>
          <cell r="KG119">
            <v>0</v>
          </cell>
          <cell r="KH119">
            <v>0</v>
          </cell>
          <cell r="KI119">
            <v>0</v>
          </cell>
          <cell r="KJ119">
            <v>0</v>
          </cell>
          <cell r="KK119">
            <v>0</v>
          </cell>
          <cell r="KL119">
            <v>6.5572159000000001</v>
          </cell>
          <cell r="KM119">
            <v>82</v>
          </cell>
          <cell r="KN119">
            <v>4.5999999999999996</v>
          </cell>
          <cell r="KO119">
            <v>2.7</v>
          </cell>
          <cell r="KP119">
            <v>3.1</v>
          </cell>
          <cell r="KQ119">
            <v>7.6</v>
          </cell>
          <cell r="KR119">
            <v>0</v>
          </cell>
          <cell r="KS119">
            <v>81</v>
          </cell>
          <cell r="KT119">
            <v>5.2</v>
          </cell>
          <cell r="KU119">
            <v>3</v>
          </cell>
          <cell r="KV119">
            <v>3.1</v>
          </cell>
          <cell r="KW119">
            <v>7.7</v>
          </cell>
          <cell r="KX119">
            <v>0</v>
          </cell>
          <cell r="KY119"/>
          <cell r="KZ119"/>
          <cell r="LA119"/>
          <cell r="LB119"/>
          <cell r="LC119"/>
          <cell r="LD119"/>
          <cell r="LE119"/>
          <cell r="LF119"/>
          <cell r="LG119"/>
          <cell r="LH119"/>
          <cell r="LI119"/>
          <cell r="LJ119"/>
          <cell r="LK119"/>
          <cell r="LL119"/>
          <cell r="LM119"/>
          <cell r="LN119"/>
          <cell r="LO119"/>
        </row>
        <row r="120">
          <cell r="A120" t="str">
            <v>EnsCA</v>
          </cell>
          <cell r="B120" t="str">
            <v>120</v>
          </cell>
          <cell r="C120" t="str">
            <v>NAF 38</v>
          </cell>
          <cell r="D120" t="str">
            <v>CA</v>
          </cell>
          <cell r="E120" t="str">
            <v/>
          </cell>
          <cell r="F120" t="str">
            <v>nd</v>
          </cell>
          <cell r="G120">
            <v>5.0999999999999996</v>
          </cell>
          <cell r="H120">
            <v>27.800000000000004</v>
          </cell>
          <cell r="I120">
            <v>58.099999999999994</v>
          </cell>
          <cell r="J120">
            <v>8.6999999999999993</v>
          </cell>
          <cell r="K120">
            <v>80.2</v>
          </cell>
          <cell r="L120">
            <v>13.700000000000001</v>
          </cell>
          <cell r="M120">
            <v>2.4</v>
          </cell>
          <cell r="N120">
            <v>3.5999999999999996</v>
          </cell>
          <cell r="O120">
            <v>16.5</v>
          </cell>
          <cell r="P120">
            <v>31.900000000000002</v>
          </cell>
          <cell r="Q120">
            <v>10.299999999999999</v>
          </cell>
          <cell r="R120">
            <v>5.3</v>
          </cell>
          <cell r="S120">
            <v>16.2</v>
          </cell>
          <cell r="T120">
            <v>38.700000000000003</v>
          </cell>
          <cell r="U120">
            <v>4.8</v>
          </cell>
          <cell r="V120">
            <v>20.9</v>
          </cell>
          <cell r="W120">
            <v>9.1</v>
          </cell>
          <cell r="X120">
            <v>84.2</v>
          </cell>
          <cell r="Y120">
            <v>6.7</v>
          </cell>
          <cell r="Z120" t="str">
            <v>nd</v>
          </cell>
          <cell r="AA120">
            <v>44.9</v>
          </cell>
          <cell r="AB120">
            <v>9</v>
          </cell>
          <cell r="AC120">
            <v>75.3</v>
          </cell>
          <cell r="AD120">
            <v>10.100000000000001</v>
          </cell>
          <cell r="AE120">
            <v>56.999999999999993</v>
          </cell>
          <cell r="AF120">
            <v>43</v>
          </cell>
          <cell r="AG120">
            <v>80.900000000000006</v>
          </cell>
          <cell r="AH120">
            <v>19.100000000000001</v>
          </cell>
          <cell r="AI120">
            <v>28.9</v>
          </cell>
          <cell r="AJ120">
            <v>4.5999999999999996</v>
          </cell>
          <cell r="AK120">
            <v>1.4000000000000001</v>
          </cell>
          <cell r="AL120">
            <v>64.400000000000006</v>
          </cell>
          <cell r="AM120">
            <v>0.70000000000000007</v>
          </cell>
          <cell r="AN120">
            <v>3.6999999999999997</v>
          </cell>
          <cell r="AO120">
            <v>1.6</v>
          </cell>
          <cell r="AP120">
            <v>0.89999999999999991</v>
          </cell>
          <cell r="AQ120">
            <v>87.3</v>
          </cell>
          <cell r="AR120">
            <v>6.5</v>
          </cell>
          <cell r="AS120">
            <v>71.399999999999991</v>
          </cell>
          <cell r="AT120">
            <v>16.3</v>
          </cell>
          <cell r="AU120">
            <v>6</v>
          </cell>
          <cell r="AV120">
            <v>1.4000000000000001</v>
          </cell>
          <cell r="AW120">
            <v>1.4000000000000001</v>
          </cell>
          <cell r="AX120">
            <v>3.5000000000000004</v>
          </cell>
          <cell r="AY120">
            <v>0.70000000000000007</v>
          </cell>
          <cell r="AZ120">
            <v>3.4000000000000004</v>
          </cell>
          <cell r="BA120">
            <v>4.2</v>
          </cell>
          <cell r="BB120">
            <v>10.8</v>
          </cell>
          <cell r="BC120">
            <v>39.300000000000004</v>
          </cell>
          <cell r="BD120">
            <v>41.6</v>
          </cell>
          <cell r="BE120" t="str">
            <v>nd</v>
          </cell>
          <cell r="BF120">
            <v>1.0999999999999999</v>
          </cell>
          <cell r="BG120">
            <v>1</v>
          </cell>
          <cell r="BH120">
            <v>4.8</v>
          </cell>
          <cell r="BI120">
            <v>38.299999999999997</v>
          </cell>
          <cell r="BJ120">
            <v>54.500000000000007</v>
          </cell>
          <cell r="BK120">
            <v>0</v>
          </cell>
          <cell r="BL120" t="str">
            <v>nd</v>
          </cell>
          <cell r="BM120" t="str">
            <v>nd</v>
          </cell>
          <cell r="BN120">
            <v>9.9</v>
          </cell>
          <cell r="BO120">
            <v>73.3</v>
          </cell>
          <cell r="BP120">
            <v>15.299999999999999</v>
          </cell>
          <cell r="BQ120" t="str">
            <v>nd</v>
          </cell>
          <cell r="BR120">
            <v>0</v>
          </cell>
          <cell r="BS120">
            <v>1.6</v>
          </cell>
          <cell r="BT120">
            <v>12.6</v>
          </cell>
          <cell r="BU120">
            <v>71</v>
          </cell>
          <cell r="BV120">
            <v>14.499999999999998</v>
          </cell>
          <cell r="BW120">
            <v>0</v>
          </cell>
          <cell r="BX120">
            <v>0</v>
          </cell>
          <cell r="BY120">
            <v>0</v>
          </cell>
          <cell r="BZ120" t="str">
            <v>nd</v>
          </cell>
          <cell r="CA120" t="str">
            <v>nd</v>
          </cell>
          <cell r="CB120">
            <v>99.4</v>
          </cell>
          <cell r="CC120">
            <v>45.300000000000004</v>
          </cell>
          <cell r="CD120">
            <v>7.5</v>
          </cell>
          <cell r="CE120">
            <v>1.9</v>
          </cell>
          <cell r="CF120">
            <v>2.2999999999999998</v>
          </cell>
          <cell r="CG120">
            <v>0.4</v>
          </cell>
          <cell r="CH120">
            <v>13.900000000000002</v>
          </cell>
          <cell r="CI120">
            <v>5.0999999999999996</v>
          </cell>
          <cell r="CJ120">
            <v>44.6</v>
          </cell>
          <cell r="CK120">
            <v>29.9</v>
          </cell>
          <cell r="CL120">
            <v>5.2</v>
          </cell>
          <cell r="CM120">
            <v>2.7</v>
          </cell>
          <cell r="CN120">
            <v>0.8</v>
          </cell>
          <cell r="CO120">
            <v>68.100000000000009</v>
          </cell>
          <cell r="CP120">
            <v>25</v>
          </cell>
          <cell r="CQ120">
            <v>39.700000000000003</v>
          </cell>
          <cell r="CR120">
            <v>7.3</v>
          </cell>
          <cell r="CS120">
            <v>28.000000000000004</v>
          </cell>
          <cell r="CT120">
            <v>22</v>
          </cell>
          <cell r="CU120">
            <v>78</v>
          </cell>
          <cell r="CV120">
            <v>10.4</v>
          </cell>
          <cell r="CW120">
            <v>89.600000000000009</v>
          </cell>
          <cell r="CX120">
            <v>16.5</v>
          </cell>
          <cell r="CY120">
            <v>47.3</v>
          </cell>
          <cell r="CZ120">
            <v>36.199999999999996</v>
          </cell>
          <cell r="DA120">
            <v>29.799999999999997</v>
          </cell>
          <cell r="DB120">
            <v>14.6</v>
          </cell>
          <cell r="DC120">
            <v>27.800000000000004</v>
          </cell>
          <cell r="DD120">
            <v>3.3000000000000003</v>
          </cell>
          <cell r="DE120">
            <v>39.1</v>
          </cell>
          <cell r="DF120">
            <v>32.4</v>
          </cell>
          <cell r="DG120">
            <v>5.8999999999999995</v>
          </cell>
          <cell r="DH120">
            <v>21.5</v>
          </cell>
          <cell r="DI120">
            <v>9.6</v>
          </cell>
          <cell r="DJ120">
            <v>13.4</v>
          </cell>
          <cell r="DK120">
            <v>17.2</v>
          </cell>
          <cell r="DL120">
            <v>28.9</v>
          </cell>
          <cell r="DM120">
            <v>33.700000000000003</v>
          </cell>
          <cell r="DN120">
            <v>7.7</v>
          </cell>
          <cell r="DO120">
            <v>19.600000000000001</v>
          </cell>
          <cell r="DP120">
            <v>5.3</v>
          </cell>
          <cell r="DQ120">
            <v>2.2999999999999998</v>
          </cell>
          <cell r="DR120">
            <v>7.3999999999999995</v>
          </cell>
          <cell r="DS120">
            <v>14.7</v>
          </cell>
          <cell r="DT120">
            <v>15.2</v>
          </cell>
          <cell r="DU120">
            <v>0</v>
          </cell>
          <cell r="DV120" t="str">
            <v>nd</v>
          </cell>
          <cell r="DW120">
            <v>0</v>
          </cell>
          <cell r="DX120">
            <v>0</v>
          </cell>
          <cell r="DY120">
            <v>0</v>
          </cell>
          <cell r="DZ120">
            <v>2.6256399999999998</v>
          </cell>
          <cell r="EA120">
            <v>1.31871</v>
          </cell>
          <cell r="EB120">
            <v>0.237041</v>
          </cell>
          <cell r="EC120" t="str">
            <v>nd</v>
          </cell>
          <cell r="ED120" t="str">
            <v>nd</v>
          </cell>
          <cell r="EE120" t="str">
            <v>nd</v>
          </cell>
          <cell r="EF120">
            <v>17.757003599999997</v>
          </cell>
          <cell r="EG120">
            <v>5.6304600000000002</v>
          </cell>
          <cell r="EH120">
            <v>3.6940099999999996</v>
          </cell>
          <cell r="EI120">
            <v>0.96456000000000008</v>
          </cell>
          <cell r="EJ120" t="str">
            <v>nd</v>
          </cell>
          <cell r="EK120" t="str">
            <v>nd</v>
          </cell>
          <cell r="EL120">
            <v>44.243002300000001</v>
          </cell>
          <cell r="EM120">
            <v>8.2473218999999993</v>
          </cell>
          <cell r="EN120">
            <v>1.92056</v>
          </cell>
          <cell r="EO120" t="str">
            <v>nd</v>
          </cell>
          <cell r="EP120">
            <v>0.59193200000000001</v>
          </cell>
          <cell r="EQ120">
            <v>2.1773899999999999</v>
          </cell>
          <cell r="ER120">
            <v>6.6999738000000004</v>
          </cell>
          <cell r="ES120">
            <v>1.19232</v>
          </cell>
          <cell r="ET120" t="str">
            <v>nd</v>
          </cell>
          <cell r="EU120">
            <v>0</v>
          </cell>
          <cell r="EV120" t="str">
            <v>nd</v>
          </cell>
          <cell r="EW120" t="str">
            <v>nd</v>
          </cell>
          <cell r="EX120">
            <v>0</v>
          </cell>
          <cell r="EY120">
            <v>0</v>
          </cell>
          <cell r="EZ120">
            <v>0</v>
          </cell>
          <cell r="FA120">
            <v>0</v>
          </cell>
          <cell r="FB120" t="str">
            <v>nd</v>
          </cell>
          <cell r="FC120">
            <v>0</v>
          </cell>
          <cell r="FD120" t="str">
            <v>nd</v>
          </cell>
          <cell r="FE120" t="str">
            <v>nd</v>
          </cell>
          <cell r="FF120" t="str">
            <v>nd</v>
          </cell>
          <cell r="FG120">
            <v>2.21943</v>
          </cell>
          <cell r="FH120">
            <v>2.3826400000000003</v>
          </cell>
          <cell r="FI120">
            <v>0.31736700000000001</v>
          </cell>
          <cell r="FJ120">
            <v>1.5779300000000001</v>
          </cell>
          <cell r="FK120">
            <v>1.1771</v>
          </cell>
          <cell r="FL120">
            <v>1.9160900000000001</v>
          </cell>
          <cell r="FM120">
            <v>9.5459481000000004</v>
          </cell>
          <cell r="FN120">
            <v>14.481716199999999</v>
          </cell>
          <cell r="FO120" t="str">
            <v>nd</v>
          </cell>
          <cell r="FP120">
            <v>0.86958000000000002</v>
          </cell>
          <cell r="FQ120">
            <v>2.2584499999999998</v>
          </cell>
          <cell r="FR120">
            <v>8.2929960000000005</v>
          </cell>
          <cell r="FS120">
            <v>24.285628299999999</v>
          </cell>
          <cell r="FT120">
            <v>21.497138099999997</v>
          </cell>
          <cell r="FU120">
            <v>0</v>
          </cell>
          <cell r="FV120">
            <v>0.45170399999999999</v>
          </cell>
          <cell r="FW120">
            <v>0.58999500000000005</v>
          </cell>
          <cell r="FX120">
            <v>0.43226000000000003</v>
          </cell>
          <cell r="FY120">
            <v>3.3776000000000002</v>
          </cell>
          <cell r="FZ120">
            <v>2.9011200000000001</v>
          </cell>
          <cell r="GA120">
            <v>0</v>
          </cell>
          <cell r="GB120">
            <v>0</v>
          </cell>
          <cell r="GC120">
            <v>0</v>
          </cell>
          <cell r="GD120">
            <v>0</v>
          </cell>
          <cell r="GE120">
            <v>0</v>
          </cell>
          <cell r="GF120" t="str">
            <v>nd</v>
          </cell>
          <cell r="GG120">
            <v>0.90516999999999992</v>
          </cell>
          <cell r="GH120" t="str">
            <v>nd</v>
          </cell>
          <cell r="GI120">
            <v>0.647393</v>
          </cell>
          <cell r="GJ120">
            <v>1.1329799999999999</v>
          </cell>
          <cell r="GK120">
            <v>2.4280499999999998</v>
          </cell>
          <cell r="GL120">
            <v>0</v>
          </cell>
          <cell r="GM120">
            <v>0</v>
          </cell>
          <cell r="GN120">
            <v>0.47022699999999995</v>
          </cell>
          <cell r="GO120">
            <v>2.5754800000000002</v>
          </cell>
          <cell r="GP120">
            <v>8.7981005999999997</v>
          </cell>
          <cell r="GQ120">
            <v>16.0807909</v>
          </cell>
          <cell r="GR120">
            <v>0</v>
          </cell>
          <cell r="GS120">
            <v>0</v>
          </cell>
          <cell r="GT120" t="str">
            <v>nd</v>
          </cell>
          <cell r="GU120">
            <v>1.4106099999999999</v>
          </cell>
          <cell r="GV120">
            <v>26.173836700000003</v>
          </cell>
          <cell r="GW120">
            <v>30.502613</v>
          </cell>
          <cell r="GX120">
            <v>0</v>
          </cell>
          <cell r="GY120">
            <v>0</v>
          </cell>
          <cell r="GZ120">
            <v>0</v>
          </cell>
          <cell r="HA120" t="str">
            <v>nd</v>
          </cell>
          <cell r="HB120">
            <v>2.3132699999999997</v>
          </cell>
          <cell r="HC120">
            <v>5.3275600000000001</v>
          </cell>
          <cell r="HD120">
            <v>0</v>
          </cell>
          <cell r="HE120" t="str">
            <v>nd</v>
          </cell>
          <cell r="HF120">
            <v>0</v>
          </cell>
          <cell r="HG120">
            <v>0</v>
          </cell>
          <cell r="HH120">
            <v>0</v>
          </cell>
          <cell r="HI120">
            <v>0</v>
          </cell>
          <cell r="HJ120" t="str">
            <v>nd</v>
          </cell>
          <cell r="HK120">
            <v>0</v>
          </cell>
          <cell r="HL120">
            <v>0.48315299999999994</v>
          </cell>
          <cell r="HM120">
            <v>3.4530199999999995</v>
          </cell>
          <cell r="HN120">
            <v>0.85533999999999988</v>
          </cell>
          <cell r="HO120">
            <v>0</v>
          </cell>
          <cell r="HP120">
            <v>0</v>
          </cell>
          <cell r="HQ120">
            <v>0</v>
          </cell>
          <cell r="HR120">
            <v>1.8088199999999999</v>
          </cell>
          <cell r="HS120">
            <v>21.350093000000001</v>
          </cell>
          <cell r="HT120">
            <v>4.7272599999999994</v>
          </cell>
          <cell r="HU120">
            <v>0</v>
          </cell>
          <cell r="HV120">
            <v>0</v>
          </cell>
          <cell r="HW120" t="str">
            <v>nd</v>
          </cell>
          <cell r="HX120">
            <v>6.1726299999999998</v>
          </cell>
          <cell r="HY120">
            <v>42.097359900000001</v>
          </cell>
          <cell r="HZ120">
            <v>8.5842866999999998</v>
          </cell>
          <cell r="IA120">
            <v>0</v>
          </cell>
          <cell r="IB120">
            <v>0</v>
          </cell>
          <cell r="IC120">
            <v>0</v>
          </cell>
          <cell r="ID120">
            <v>1.4737899999999999</v>
          </cell>
          <cell r="IE120">
            <v>6.4245633999999994</v>
          </cell>
          <cell r="IF120">
            <v>0.82275999999999994</v>
          </cell>
          <cell r="IG120">
            <v>0</v>
          </cell>
          <cell r="IH120">
            <v>0</v>
          </cell>
          <cell r="II120">
            <v>0</v>
          </cell>
          <cell r="IJ120">
            <v>0</v>
          </cell>
          <cell r="IK120" t="str">
            <v>nd</v>
          </cell>
          <cell r="IL120">
            <v>0</v>
          </cell>
          <cell r="IM120">
            <v>0</v>
          </cell>
          <cell r="IN120">
            <v>0</v>
          </cell>
          <cell r="IO120">
            <v>0.45792500000000003</v>
          </cell>
          <cell r="IP120">
            <v>2.4239299999999999</v>
          </cell>
          <cell r="IQ120">
            <v>1.9199899999999999</v>
          </cell>
          <cell r="IR120">
            <v>0</v>
          </cell>
          <cell r="IS120">
            <v>0</v>
          </cell>
          <cell r="IT120" t="str">
            <v>nd</v>
          </cell>
          <cell r="IU120">
            <v>5.0839799999999995</v>
          </cell>
          <cell r="IV120">
            <v>18.347536600000002</v>
          </cell>
          <cell r="IW120">
            <v>4.1253299999999999</v>
          </cell>
          <cell r="IX120" t="str">
            <v>nd</v>
          </cell>
          <cell r="IY120">
            <v>0</v>
          </cell>
          <cell r="IZ120">
            <v>1.2803899999999999</v>
          </cell>
          <cell r="JA120">
            <v>6.0352100000000002</v>
          </cell>
          <cell r="JB120">
            <v>43.051670299999998</v>
          </cell>
          <cell r="JC120">
            <v>7.4171898000000001</v>
          </cell>
          <cell r="JD120">
            <v>0</v>
          </cell>
          <cell r="JE120">
            <v>0</v>
          </cell>
          <cell r="JF120">
            <v>0</v>
          </cell>
          <cell r="JG120">
            <v>1.1703600000000001</v>
          </cell>
          <cell r="JH120">
            <v>6.6737589000000002</v>
          </cell>
          <cell r="JI120">
            <v>1.1231200000000001</v>
          </cell>
          <cell r="JJ120">
            <v>0</v>
          </cell>
          <cell r="JK120">
            <v>0</v>
          </cell>
          <cell r="JL120">
            <v>0</v>
          </cell>
          <cell r="JM120">
            <v>0</v>
          </cell>
          <cell r="JN120" t="str">
            <v>nd</v>
          </cell>
          <cell r="JO120">
            <v>0</v>
          </cell>
          <cell r="JP120">
            <v>0</v>
          </cell>
          <cell r="JQ120">
            <v>0</v>
          </cell>
          <cell r="JR120" t="str">
            <v>nd</v>
          </cell>
          <cell r="JS120">
            <v>0</v>
          </cell>
          <cell r="JT120">
            <v>5.2092700000000001</v>
          </cell>
          <cell r="JU120">
            <v>0</v>
          </cell>
          <cell r="JV120">
            <v>0</v>
          </cell>
          <cell r="JW120">
            <v>0</v>
          </cell>
          <cell r="JX120">
            <v>0</v>
          </cell>
          <cell r="JY120" t="str">
            <v>nd</v>
          </cell>
          <cell r="JZ120">
            <v>27.805581200000002</v>
          </cell>
          <cell r="KA120">
            <v>0</v>
          </cell>
          <cell r="KB120">
            <v>0</v>
          </cell>
          <cell r="KC120">
            <v>0</v>
          </cell>
          <cell r="KD120">
            <v>0</v>
          </cell>
          <cell r="KE120">
            <v>0</v>
          </cell>
          <cell r="KF120">
            <v>57.946838599999992</v>
          </cell>
          <cell r="KG120">
            <v>0</v>
          </cell>
          <cell r="KH120">
            <v>0</v>
          </cell>
          <cell r="KI120">
            <v>0</v>
          </cell>
          <cell r="KJ120">
            <v>0</v>
          </cell>
          <cell r="KK120">
            <v>0</v>
          </cell>
          <cell r="KL120">
            <v>8.1554567999999996</v>
          </cell>
          <cell r="KM120">
            <v>74.400000000000006</v>
          </cell>
          <cell r="KN120">
            <v>8</v>
          </cell>
          <cell r="KO120">
            <v>4.2</v>
          </cell>
          <cell r="KP120">
            <v>6.6000000000000005</v>
          </cell>
          <cell r="KQ120">
            <v>6.7</v>
          </cell>
          <cell r="KR120">
            <v>0</v>
          </cell>
          <cell r="KS120">
            <v>72.599999999999994</v>
          </cell>
          <cell r="KT120">
            <v>8.5</v>
          </cell>
          <cell r="KU120">
            <v>4.5</v>
          </cell>
          <cell r="KV120">
            <v>7.0000000000000009</v>
          </cell>
          <cell r="KW120">
            <v>7.3999999999999995</v>
          </cell>
          <cell r="KX120">
            <v>0</v>
          </cell>
          <cell r="KY120"/>
          <cell r="KZ120"/>
          <cell r="LA120"/>
          <cell r="LB120"/>
          <cell r="LC120"/>
          <cell r="LD120"/>
          <cell r="LE120"/>
          <cell r="LF120"/>
          <cell r="LG120"/>
          <cell r="LH120"/>
          <cell r="LI120"/>
          <cell r="LJ120"/>
          <cell r="LK120"/>
          <cell r="LL120"/>
          <cell r="LM120"/>
          <cell r="LN120"/>
          <cell r="LO120"/>
        </row>
        <row r="121">
          <cell r="A121" t="str">
            <v>EnsCB</v>
          </cell>
          <cell r="B121" t="str">
            <v>121</v>
          </cell>
          <cell r="C121" t="str">
            <v>NAF 38</v>
          </cell>
          <cell r="D121" t="str">
            <v>CB</v>
          </cell>
          <cell r="E121" t="str">
            <v/>
          </cell>
          <cell r="F121" t="str">
            <v>nd</v>
          </cell>
          <cell r="G121">
            <v>10.4</v>
          </cell>
          <cell r="H121">
            <v>63.7</v>
          </cell>
          <cell r="I121">
            <v>17.2</v>
          </cell>
          <cell r="J121">
            <v>7.7</v>
          </cell>
          <cell r="K121">
            <v>58.4</v>
          </cell>
          <cell r="L121">
            <v>20.9</v>
          </cell>
          <cell r="M121">
            <v>11.899999999999999</v>
          </cell>
          <cell r="N121">
            <v>8.7999999999999989</v>
          </cell>
          <cell r="O121">
            <v>31.2</v>
          </cell>
          <cell r="P121">
            <v>13.8</v>
          </cell>
          <cell r="Q121">
            <v>24.7</v>
          </cell>
          <cell r="R121">
            <v>5</v>
          </cell>
          <cell r="S121">
            <v>11.5</v>
          </cell>
          <cell r="T121">
            <v>57.599999999999994</v>
          </cell>
          <cell r="U121">
            <v>2.4</v>
          </cell>
          <cell r="V121">
            <v>11</v>
          </cell>
          <cell r="W121">
            <v>23.3</v>
          </cell>
          <cell r="X121">
            <v>73.900000000000006</v>
          </cell>
          <cell r="Y121">
            <v>2.7</v>
          </cell>
          <cell r="Z121">
            <v>16.3</v>
          </cell>
          <cell r="AA121">
            <v>46.800000000000004</v>
          </cell>
          <cell r="AB121">
            <v>34.799999999999997</v>
          </cell>
          <cell r="AC121">
            <v>66.5</v>
          </cell>
          <cell r="AD121">
            <v>9</v>
          </cell>
          <cell r="AE121">
            <v>62.1</v>
          </cell>
          <cell r="AF121">
            <v>37.9</v>
          </cell>
          <cell r="AG121">
            <v>68.600000000000009</v>
          </cell>
          <cell r="AH121">
            <v>31.4</v>
          </cell>
          <cell r="AI121">
            <v>67.2</v>
          </cell>
          <cell r="AJ121">
            <v>4</v>
          </cell>
          <cell r="AK121" t="str">
            <v>nd</v>
          </cell>
          <cell r="AL121">
            <v>26</v>
          </cell>
          <cell r="AM121" t="str">
            <v>nd</v>
          </cell>
          <cell r="AN121">
            <v>12.2</v>
          </cell>
          <cell r="AO121" t="str">
            <v>nd</v>
          </cell>
          <cell r="AP121">
            <v>10.9</v>
          </cell>
          <cell r="AQ121">
            <v>71</v>
          </cell>
          <cell r="AR121" t="str">
            <v>nd</v>
          </cell>
          <cell r="AS121">
            <v>72.7</v>
          </cell>
          <cell r="AT121">
            <v>8.4</v>
          </cell>
          <cell r="AU121">
            <v>8.1</v>
          </cell>
          <cell r="AV121">
            <v>3.8</v>
          </cell>
          <cell r="AW121">
            <v>5</v>
          </cell>
          <cell r="AX121">
            <v>1.9</v>
          </cell>
          <cell r="AY121" t="str">
            <v>nd</v>
          </cell>
          <cell r="AZ121">
            <v>2.7</v>
          </cell>
          <cell r="BA121">
            <v>6.7</v>
          </cell>
          <cell r="BB121">
            <v>8</v>
          </cell>
          <cell r="BC121">
            <v>42.4</v>
          </cell>
          <cell r="BD121">
            <v>38.299999999999997</v>
          </cell>
          <cell r="BE121" t="str">
            <v>nd</v>
          </cell>
          <cell r="BF121" t="str">
            <v>nd</v>
          </cell>
          <cell r="BG121" t="str">
            <v>nd</v>
          </cell>
          <cell r="BH121">
            <v>9.1999999999999993</v>
          </cell>
          <cell r="BI121">
            <v>30.2</v>
          </cell>
          <cell r="BJ121">
            <v>57.9</v>
          </cell>
          <cell r="BK121">
            <v>0</v>
          </cell>
          <cell r="BL121">
            <v>0</v>
          </cell>
          <cell r="BM121">
            <v>0</v>
          </cell>
          <cell r="BN121">
            <v>6.5</v>
          </cell>
          <cell r="BO121">
            <v>77.2</v>
          </cell>
          <cell r="BP121">
            <v>16.3</v>
          </cell>
          <cell r="BQ121">
            <v>0</v>
          </cell>
          <cell r="BR121">
            <v>0</v>
          </cell>
          <cell r="BS121" t="str">
            <v>nd</v>
          </cell>
          <cell r="BT121">
            <v>2.4</v>
          </cell>
          <cell r="BU121">
            <v>55.2</v>
          </cell>
          <cell r="BV121">
            <v>41.8</v>
          </cell>
          <cell r="BW121">
            <v>0</v>
          </cell>
          <cell r="BX121">
            <v>0</v>
          </cell>
          <cell r="BY121">
            <v>0</v>
          </cell>
          <cell r="BZ121">
            <v>0</v>
          </cell>
          <cell r="CA121" t="str">
            <v>nd</v>
          </cell>
          <cell r="CB121">
            <v>98.4</v>
          </cell>
          <cell r="CC121">
            <v>14.6</v>
          </cell>
          <cell r="CD121">
            <v>20.5</v>
          </cell>
          <cell r="CE121" t="str">
            <v>nd</v>
          </cell>
          <cell r="CF121">
            <v>3.8</v>
          </cell>
          <cell r="CG121" t="str">
            <v>nd</v>
          </cell>
          <cell r="CH121">
            <v>22.7</v>
          </cell>
          <cell r="CI121">
            <v>3.9</v>
          </cell>
          <cell r="CJ121">
            <v>60.5</v>
          </cell>
          <cell r="CK121">
            <v>46.400000000000006</v>
          </cell>
          <cell r="CL121" t="str">
            <v>nd</v>
          </cell>
          <cell r="CM121" t="str">
            <v>nd</v>
          </cell>
          <cell r="CN121">
            <v>0</v>
          </cell>
          <cell r="CO121">
            <v>50.8</v>
          </cell>
          <cell r="CP121">
            <v>20.3</v>
          </cell>
          <cell r="CQ121">
            <v>35.799999999999997</v>
          </cell>
          <cell r="CR121">
            <v>12.4</v>
          </cell>
          <cell r="CS121">
            <v>31.5</v>
          </cell>
          <cell r="CT121">
            <v>18.2</v>
          </cell>
          <cell r="CU121">
            <v>81.8</v>
          </cell>
          <cell r="CV121">
            <v>28.7</v>
          </cell>
          <cell r="CW121">
            <v>71.3</v>
          </cell>
          <cell r="CX121">
            <v>26.3</v>
          </cell>
          <cell r="CY121">
            <v>44.6</v>
          </cell>
          <cell r="CZ121">
            <v>29.099999999999998</v>
          </cell>
          <cell r="DA121">
            <v>72.3</v>
          </cell>
          <cell r="DB121" t="str">
            <v>nd</v>
          </cell>
          <cell r="DC121">
            <v>4.5999999999999996</v>
          </cell>
          <cell r="DD121">
            <v>0</v>
          </cell>
          <cell r="DE121">
            <v>28.799999999999997</v>
          </cell>
          <cell r="DF121">
            <v>8.3000000000000007</v>
          </cell>
          <cell r="DG121">
            <v>2.2999999999999998</v>
          </cell>
          <cell r="DH121">
            <v>10.8</v>
          </cell>
          <cell r="DI121">
            <v>19.2</v>
          </cell>
          <cell r="DJ121">
            <v>39.6</v>
          </cell>
          <cell r="DK121">
            <v>19.8</v>
          </cell>
          <cell r="DL121">
            <v>12.6</v>
          </cell>
          <cell r="DM121">
            <v>49.4</v>
          </cell>
          <cell r="DN121">
            <v>2.1</v>
          </cell>
          <cell r="DO121">
            <v>14.499999999999998</v>
          </cell>
          <cell r="DP121">
            <v>8.5</v>
          </cell>
          <cell r="DQ121">
            <v>0</v>
          </cell>
          <cell r="DR121">
            <v>20.8</v>
          </cell>
          <cell r="DS121">
            <v>28.299999999999997</v>
          </cell>
          <cell r="DT121">
            <v>13.5</v>
          </cell>
          <cell r="DU121">
            <v>0</v>
          </cell>
          <cell r="DV121">
            <v>0</v>
          </cell>
          <cell r="DW121">
            <v>0</v>
          </cell>
          <cell r="DX121" t="str">
            <v>nd</v>
          </cell>
          <cell r="DY121">
            <v>0</v>
          </cell>
          <cell r="DZ121">
            <v>5.9572600000000007</v>
          </cell>
          <cell r="EA121">
            <v>1.51448</v>
          </cell>
          <cell r="EB121" t="str">
            <v>nd</v>
          </cell>
          <cell r="EC121" t="str">
            <v>nd</v>
          </cell>
          <cell r="ED121">
            <v>0</v>
          </cell>
          <cell r="EE121">
            <v>0</v>
          </cell>
          <cell r="EF121">
            <v>47.1245124</v>
          </cell>
          <cell r="EG121">
            <v>5.6863200000000003</v>
          </cell>
          <cell r="EH121">
            <v>5.3720299999999996</v>
          </cell>
          <cell r="EI121" t="str">
            <v>nd</v>
          </cell>
          <cell r="EJ121">
            <v>3.00508</v>
          </cell>
          <cell r="EK121" t="str">
            <v>nd</v>
          </cell>
          <cell r="EL121">
            <v>12.875345599999999</v>
          </cell>
          <cell r="EM121">
            <v>1.2317099999999999</v>
          </cell>
          <cell r="EN121">
            <v>0</v>
          </cell>
          <cell r="EO121">
            <v>0</v>
          </cell>
          <cell r="EP121" t="str">
            <v>nd</v>
          </cell>
          <cell r="EQ121" t="str">
            <v>nd</v>
          </cell>
          <cell r="ER121">
            <v>6.7630605999999993</v>
          </cell>
          <cell r="ES121">
            <v>0</v>
          </cell>
          <cell r="ET121">
            <v>0</v>
          </cell>
          <cell r="EU121">
            <v>0</v>
          </cell>
          <cell r="EV121">
            <v>0</v>
          </cell>
          <cell r="EW121" t="str">
            <v>nd</v>
          </cell>
          <cell r="EX121">
            <v>0</v>
          </cell>
          <cell r="EY121" t="str">
            <v>nd</v>
          </cell>
          <cell r="EZ121">
            <v>0</v>
          </cell>
          <cell r="FA121">
            <v>0</v>
          </cell>
          <cell r="FB121">
            <v>0</v>
          </cell>
          <cell r="FC121">
            <v>0</v>
          </cell>
          <cell r="FD121">
            <v>0</v>
          </cell>
          <cell r="FE121" t="str">
            <v>nd</v>
          </cell>
          <cell r="FF121" t="str">
            <v>nd</v>
          </cell>
          <cell r="FG121">
            <v>2.5173399999999999</v>
          </cell>
          <cell r="FH121">
            <v>5.3315200000000003</v>
          </cell>
          <cell r="FI121" t="str">
            <v>nd</v>
          </cell>
          <cell r="FJ121">
            <v>2.6748699999999999</v>
          </cell>
          <cell r="FK121">
            <v>3.8289599999999999</v>
          </cell>
          <cell r="FL121">
            <v>5.8452599999999997</v>
          </cell>
          <cell r="FM121">
            <v>33.140996999999999</v>
          </cell>
          <cell r="FN121">
            <v>17.238555999999999</v>
          </cell>
          <cell r="FO121" t="str">
            <v>nd</v>
          </cell>
          <cell r="FP121">
            <v>0</v>
          </cell>
          <cell r="FQ121">
            <v>0</v>
          </cell>
          <cell r="FR121" t="str">
            <v>nd</v>
          </cell>
          <cell r="FS121">
            <v>3.6010899999999997</v>
          </cell>
          <cell r="FT121">
            <v>11.5259375</v>
          </cell>
          <cell r="FU121">
            <v>0</v>
          </cell>
          <cell r="FV121">
            <v>0</v>
          </cell>
          <cell r="FW121" t="str">
            <v>nd</v>
          </cell>
          <cell r="FX121" t="str">
            <v>nd</v>
          </cell>
          <cell r="FY121">
            <v>2.2078600000000002</v>
          </cell>
          <cell r="FZ121">
            <v>4.2074300000000004</v>
          </cell>
          <cell r="GA121">
            <v>0</v>
          </cell>
          <cell r="GB121">
            <v>0</v>
          </cell>
          <cell r="GC121">
            <v>0</v>
          </cell>
          <cell r="GD121">
            <v>0</v>
          </cell>
          <cell r="GE121">
            <v>0</v>
          </cell>
          <cell r="GF121" t="str">
            <v>nd</v>
          </cell>
          <cell r="GG121" t="str">
            <v>nd</v>
          </cell>
          <cell r="GH121">
            <v>0</v>
          </cell>
          <cell r="GI121" t="str">
            <v>nd</v>
          </cell>
          <cell r="GJ121">
            <v>2.1377999999999999</v>
          </cell>
          <cell r="GK121">
            <v>6.8871532000000002</v>
          </cell>
          <cell r="GL121" t="str">
            <v>nd</v>
          </cell>
          <cell r="GM121">
            <v>0</v>
          </cell>
          <cell r="GN121" t="str">
            <v>nd</v>
          </cell>
          <cell r="GO121">
            <v>7.7240004999999998</v>
          </cell>
          <cell r="GP121">
            <v>22.169192300000002</v>
          </cell>
          <cell r="GQ121">
            <v>32.046946699999999</v>
          </cell>
          <cell r="GR121">
            <v>0</v>
          </cell>
          <cell r="GS121">
            <v>0</v>
          </cell>
          <cell r="GT121">
            <v>0</v>
          </cell>
          <cell r="GU121" t="str">
            <v>nd</v>
          </cell>
          <cell r="GV121">
            <v>3.5313600000000003</v>
          </cell>
          <cell r="GW121">
            <v>13.542165199999999</v>
          </cell>
          <cell r="GX121">
            <v>0</v>
          </cell>
          <cell r="GY121">
            <v>0</v>
          </cell>
          <cell r="GZ121">
            <v>0</v>
          </cell>
          <cell r="HA121">
            <v>0</v>
          </cell>
          <cell r="HB121">
            <v>2.3168199999999999</v>
          </cell>
          <cell r="HC121">
            <v>5.3806000000000003</v>
          </cell>
          <cell r="HD121">
            <v>0</v>
          </cell>
          <cell r="HE121" t="str">
            <v>nd</v>
          </cell>
          <cell r="HF121">
            <v>0</v>
          </cell>
          <cell r="HG121">
            <v>0</v>
          </cell>
          <cell r="HH121">
            <v>0</v>
          </cell>
          <cell r="HI121">
            <v>0</v>
          </cell>
          <cell r="HJ121">
            <v>0</v>
          </cell>
          <cell r="HK121">
            <v>0</v>
          </cell>
          <cell r="HL121">
            <v>0</v>
          </cell>
          <cell r="HM121">
            <v>9.1447275999999995</v>
          </cell>
          <cell r="HN121">
            <v>1.5181</v>
          </cell>
          <cell r="HO121">
            <v>0</v>
          </cell>
          <cell r="HP121">
            <v>0</v>
          </cell>
          <cell r="HQ121">
            <v>0</v>
          </cell>
          <cell r="HR121">
            <v>2.5756899999999998</v>
          </cell>
          <cell r="HS121">
            <v>54.657162999999997</v>
          </cell>
          <cell r="HT121">
            <v>6.3075180999999994</v>
          </cell>
          <cell r="HU121">
            <v>0</v>
          </cell>
          <cell r="HV121">
            <v>0</v>
          </cell>
          <cell r="HW121">
            <v>0</v>
          </cell>
          <cell r="HX121">
            <v>3.6793100000000001</v>
          </cell>
          <cell r="HY121">
            <v>7.664109400000001</v>
          </cell>
          <cell r="HZ121">
            <v>5.7392599999999998</v>
          </cell>
          <cell r="IA121">
            <v>0</v>
          </cell>
          <cell r="IB121">
            <v>0</v>
          </cell>
          <cell r="IC121">
            <v>0</v>
          </cell>
          <cell r="ID121" t="str">
            <v>nd</v>
          </cell>
          <cell r="IE121">
            <v>4.79068</v>
          </cell>
          <cell r="IF121" t="str">
            <v>nd</v>
          </cell>
          <cell r="IG121">
            <v>0</v>
          </cell>
          <cell r="IH121" t="str">
            <v>nd</v>
          </cell>
          <cell r="II121">
            <v>0</v>
          </cell>
          <cell r="IJ121">
            <v>0</v>
          </cell>
          <cell r="IK121">
            <v>0</v>
          </cell>
          <cell r="IL121">
            <v>0</v>
          </cell>
          <cell r="IM121">
            <v>0</v>
          </cell>
          <cell r="IN121">
            <v>0</v>
          </cell>
          <cell r="IO121" t="str">
            <v>nd</v>
          </cell>
          <cell r="IP121">
            <v>2.9679600000000002</v>
          </cell>
          <cell r="IQ121">
            <v>7.2615250000000007</v>
          </cell>
          <cell r="IR121">
            <v>0</v>
          </cell>
          <cell r="IS121">
            <v>0</v>
          </cell>
          <cell r="IT121" t="str">
            <v>nd</v>
          </cell>
          <cell r="IU121">
            <v>1.98481</v>
          </cell>
          <cell r="IV121">
            <v>38.607612000000003</v>
          </cell>
          <cell r="IW121">
            <v>22.522687899999998</v>
          </cell>
          <cell r="IX121">
            <v>0</v>
          </cell>
          <cell r="IY121">
            <v>0</v>
          </cell>
          <cell r="IZ121">
            <v>0</v>
          </cell>
          <cell r="JA121">
            <v>0</v>
          </cell>
          <cell r="JB121">
            <v>6.9026967999999993</v>
          </cell>
          <cell r="JC121">
            <v>10.375023000000001</v>
          </cell>
          <cell r="JD121">
            <v>0</v>
          </cell>
          <cell r="JE121">
            <v>0</v>
          </cell>
          <cell r="JF121">
            <v>0</v>
          </cell>
          <cell r="JG121">
            <v>0</v>
          </cell>
          <cell r="JH121">
            <v>5.7652999999999999</v>
          </cell>
          <cell r="JI121">
            <v>1.6842300000000001</v>
          </cell>
          <cell r="JJ121">
            <v>0</v>
          </cell>
          <cell r="JK121">
            <v>0</v>
          </cell>
          <cell r="JL121">
            <v>0</v>
          </cell>
          <cell r="JM121">
            <v>0</v>
          </cell>
          <cell r="JN121" t="str">
            <v>nd</v>
          </cell>
          <cell r="JO121">
            <v>0</v>
          </cell>
          <cell r="JP121">
            <v>0</v>
          </cell>
          <cell r="JQ121">
            <v>0</v>
          </cell>
          <cell r="JR121">
            <v>0</v>
          </cell>
          <cell r="JS121">
            <v>0</v>
          </cell>
          <cell r="JT121">
            <v>10.6101747</v>
          </cell>
          <cell r="JU121">
            <v>0</v>
          </cell>
          <cell r="JV121">
            <v>0</v>
          </cell>
          <cell r="JW121">
            <v>0</v>
          </cell>
          <cell r="JX121">
            <v>0</v>
          </cell>
          <cell r="JY121" t="str">
            <v>nd</v>
          </cell>
          <cell r="JZ121">
            <v>62.819344700000002</v>
          </cell>
          <cell r="KA121">
            <v>0</v>
          </cell>
          <cell r="KB121">
            <v>0</v>
          </cell>
          <cell r="KC121">
            <v>0</v>
          </cell>
          <cell r="KD121">
            <v>0</v>
          </cell>
          <cell r="KE121">
            <v>0</v>
          </cell>
          <cell r="KF121">
            <v>16.325568200000003</v>
          </cell>
          <cell r="KG121">
            <v>0</v>
          </cell>
          <cell r="KH121">
            <v>0</v>
          </cell>
          <cell r="KI121">
            <v>0</v>
          </cell>
          <cell r="KJ121">
            <v>0</v>
          </cell>
          <cell r="KK121">
            <v>0</v>
          </cell>
          <cell r="KL121">
            <v>7.7535322000000004</v>
          </cell>
          <cell r="KM121">
            <v>75.2</v>
          </cell>
          <cell r="KN121">
            <v>10.199999999999999</v>
          </cell>
          <cell r="KO121">
            <v>4.9000000000000004</v>
          </cell>
          <cell r="KP121">
            <v>5.8999999999999995</v>
          </cell>
          <cell r="KQ121">
            <v>3.5999999999999996</v>
          </cell>
          <cell r="KR121">
            <v>0.1</v>
          </cell>
          <cell r="KS121">
            <v>73.900000000000006</v>
          </cell>
          <cell r="KT121">
            <v>10.5</v>
          </cell>
          <cell r="KU121">
            <v>5.4</v>
          </cell>
          <cell r="KV121">
            <v>6.3</v>
          </cell>
          <cell r="KW121">
            <v>3.6999999999999997</v>
          </cell>
          <cell r="KX121">
            <v>0.1</v>
          </cell>
          <cell r="KY121"/>
          <cell r="KZ121"/>
          <cell r="LA121"/>
          <cell r="LB121"/>
          <cell r="LC121"/>
          <cell r="LD121"/>
          <cell r="LE121"/>
          <cell r="LF121"/>
          <cell r="LG121"/>
          <cell r="LH121"/>
          <cell r="LI121"/>
          <cell r="LJ121"/>
          <cell r="LK121"/>
          <cell r="LL121"/>
          <cell r="LM121"/>
          <cell r="LN121"/>
          <cell r="LO121"/>
        </row>
        <row r="122">
          <cell r="A122" t="str">
            <v>EnsCC</v>
          </cell>
          <cell r="B122" t="str">
            <v>122</v>
          </cell>
          <cell r="C122" t="str">
            <v>NAF 38</v>
          </cell>
          <cell r="D122" t="str">
            <v>CC</v>
          </cell>
          <cell r="E122" t="str">
            <v/>
          </cell>
          <cell r="F122">
            <v>0</v>
          </cell>
          <cell r="G122">
            <v>12.7</v>
          </cell>
          <cell r="H122">
            <v>40.5</v>
          </cell>
          <cell r="I122">
            <v>40.200000000000003</v>
          </cell>
          <cell r="J122">
            <v>6.6000000000000005</v>
          </cell>
          <cell r="K122">
            <v>87.7</v>
          </cell>
          <cell r="L122">
            <v>4.3</v>
          </cell>
          <cell r="M122">
            <v>5.8999999999999995</v>
          </cell>
          <cell r="N122" t="str">
            <v>nd</v>
          </cell>
          <cell r="O122">
            <v>27</v>
          </cell>
          <cell r="P122">
            <v>20.100000000000001</v>
          </cell>
          <cell r="Q122">
            <v>17.100000000000001</v>
          </cell>
          <cell r="R122">
            <v>7.1</v>
          </cell>
          <cell r="S122">
            <v>17.599999999999998</v>
          </cell>
          <cell r="T122">
            <v>48.8</v>
          </cell>
          <cell r="U122">
            <v>4.3</v>
          </cell>
          <cell r="V122">
            <v>18.8</v>
          </cell>
          <cell r="W122">
            <v>11.3</v>
          </cell>
          <cell r="X122">
            <v>84.899999999999991</v>
          </cell>
          <cell r="Y122">
            <v>3.9</v>
          </cell>
          <cell r="Z122" t="str">
            <v>nd</v>
          </cell>
          <cell r="AA122">
            <v>39.4</v>
          </cell>
          <cell r="AB122">
            <v>32.1</v>
          </cell>
          <cell r="AC122">
            <v>11</v>
          </cell>
          <cell r="AD122">
            <v>33.900000000000006</v>
          </cell>
          <cell r="AE122">
            <v>59.4</v>
          </cell>
          <cell r="AF122">
            <v>40.6</v>
          </cell>
          <cell r="AG122">
            <v>61.3</v>
          </cell>
          <cell r="AH122">
            <v>38.700000000000003</v>
          </cell>
          <cell r="AI122">
            <v>55.7</v>
          </cell>
          <cell r="AJ122" t="str">
            <v>nd</v>
          </cell>
          <cell r="AK122" t="str">
            <v>nd</v>
          </cell>
          <cell r="AL122">
            <v>38.200000000000003</v>
          </cell>
          <cell r="AM122">
            <v>3.6999999999999997</v>
          </cell>
          <cell r="AN122">
            <v>4.9000000000000004</v>
          </cell>
          <cell r="AO122">
            <v>3.4000000000000004</v>
          </cell>
          <cell r="AP122" t="str">
            <v>nd</v>
          </cell>
          <cell r="AQ122">
            <v>87.1</v>
          </cell>
          <cell r="AR122">
            <v>2.7</v>
          </cell>
          <cell r="AS122">
            <v>75.8</v>
          </cell>
          <cell r="AT122">
            <v>15.7</v>
          </cell>
          <cell r="AU122">
            <v>3</v>
          </cell>
          <cell r="AV122" t="str">
            <v>nd</v>
          </cell>
          <cell r="AW122" t="str">
            <v>nd</v>
          </cell>
          <cell r="AX122">
            <v>4.5999999999999996</v>
          </cell>
          <cell r="AY122" t="str">
            <v>nd</v>
          </cell>
          <cell r="AZ122" t="str">
            <v>nd</v>
          </cell>
          <cell r="BA122">
            <v>1.6</v>
          </cell>
          <cell r="BB122">
            <v>13.5</v>
          </cell>
          <cell r="BC122">
            <v>41.4</v>
          </cell>
          <cell r="BD122">
            <v>42.699999999999996</v>
          </cell>
          <cell r="BE122" t="str">
            <v>nd</v>
          </cell>
          <cell r="BF122">
            <v>0</v>
          </cell>
          <cell r="BG122">
            <v>3</v>
          </cell>
          <cell r="BH122">
            <v>7.3999999999999995</v>
          </cell>
          <cell r="BI122">
            <v>38.4</v>
          </cell>
          <cell r="BJ122">
            <v>50.7</v>
          </cell>
          <cell r="BK122">
            <v>0</v>
          </cell>
          <cell r="BL122">
            <v>0</v>
          </cell>
          <cell r="BM122">
            <v>0</v>
          </cell>
          <cell r="BN122">
            <v>13</v>
          </cell>
          <cell r="BO122">
            <v>65.8</v>
          </cell>
          <cell r="BP122">
            <v>21.3</v>
          </cell>
          <cell r="BQ122">
            <v>0</v>
          </cell>
          <cell r="BR122">
            <v>0</v>
          </cell>
          <cell r="BS122">
            <v>1.5</v>
          </cell>
          <cell r="BT122">
            <v>12.2</v>
          </cell>
          <cell r="BU122">
            <v>50.9</v>
          </cell>
          <cell r="BV122">
            <v>35.4</v>
          </cell>
          <cell r="BW122">
            <v>0</v>
          </cell>
          <cell r="BX122">
            <v>0</v>
          </cell>
          <cell r="BY122">
            <v>0</v>
          </cell>
          <cell r="BZ122">
            <v>0</v>
          </cell>
          <cell r="CA122">
            <v>2</v>
          </cell>
          <cell r="CB122">
            <v>98</v>
          </cell>
          <cell r="CC122">
            <v>27.800000000000004</v>
          </cell>
          <cell r="CD122">
            <v>10.8</v>
          </cell>
          <cell r="CE122">
            <v>5.5</v>
          </cell>
          <cell r="CF122">
            <v>6.2</v>
          </cell>
          <cell r="CG122" t="str">
            <v>nd</v>
          </cell>
          <cell r="CH122">
            <v>19.7</v>
          </cell>
          <cell r="CI122">
            <v>12.2</v>
          </cell>
          <cell r="CJ122">
            <v>48.6</v>
          </cell>
          <cell r="CK122">
            <v>33.6</v>
          </cell>
          <cell r="CL122">
            <v>5.8999999999999995</v>
          </cell>
          <cell r="CM122">
            <v>4.1000000000000005</v>
          </cell>
          <cell r="CN122" t="str">
            <v>nd</v>
          </cell>
          <cell r="CO122">
            <v>60.3</v>
          </cell>
          <cell r="CP122">
            <v>26.200000000000003</v>
          </cell>
          <cell r="CQ122">
            <v>37.6</v>
          </cell>
          <cell r="CR122">
            <v>10.6</v>
          </cell>
          <cell r="CS122">
            <v>25.7</v>
          </cell>
          <cell r="CT122">
            <v>6.4</v>
          </cell>
          <cell r="CU122">
            <v>93.600000000000009</v>
          </cell>
          <cell r="CV122">
            <v>13.8</v>
          </cell>
          <cell r="CW122">
            <v>86.2</v>
          </cell>
          <cell r="CX122">
            <v>19.3</v>
          </cell>
          <cell r="CY122">
            <v>44.6</v>
          </cell>
          <cell r="CZ122">
            <v>36.1</v>
          </cell>
          <cell r="DA122">
            <v>15.299999999999999</v>
          </cell>
          <cell r="DB122">
            <v>9.1999999999999993</v>
          </cell>
          <cell r="DC122" t="str">
            <v>nd</v>
          </cell>
          <cell r="DD122" t="str">
            <v>nd</v>
          </cell>
          <cell r="DE122">
            <v>68.7</v>
          </cell>
          <cell r="DF122">
            <v>18.899999999999999</v>
          </cell>
          <cell r="DG122">
            <v>8.3000000000000007</v>
          </cell>
          <cell r="DH122">
            <v>12</v>
          </cell>
          <cell r="DI122">
            <v>12</v>
          </cell>
          <cell r="DJ122">
            <v>20.9</v>
          </cell>
          <cell r="DK122">
            <v>27.800000000000004</v>
          </cell>
          <cell r="DL122">
            <v>24.099999999999998</v>
          </cell>
          <cell r="DM122">
            <v>52.5</v>
          </cell>
          <cell r="DN122">
            <v>3.3000000000000003</v>
          </cell>
          <cell r="DO122">
            <v>8.5</v>
          </cell>
          <cell r="DP122">
            <v>2.1999999999999997</v>
          </cell>
          <cell r="DQ122" t="str">
            <v>nd</v>
          </cell>
          <cell r="DR122">
            <v>10.9</v>
          </cell>
          <cell r="DS122">
            <v>10.9</v>
          </cell>
          <cell r="DT122">
            <v>15.299999999999999</v>
          </cell>
          <cell r="DU122">
            <v>0</v>
          </cell>
          <cell r="DV122">
            <v>0</v>
          </cell>
          <cell r="DW122">
            <v>0</v>
          </cell>
          <cell r="DX122">
            <v>0</v>
          </cell>
          <cell r="DY122">
            <v>0</v>
          </cell>
          <cell r="DZ122">
            <v>3.8007600000000004</v>
          </cell>
          <cell r="EA122">
            <v>7.0531386999999999</v>
          </cell>
          <cell r="EB122" t="str">
            <v>nd</v>
          </cell>
          <cell r="EC122">
            <v>0</v>
          </cell>
          <cell r="ED122">
            <v>0</v>
          </cell>
          <cell r="EE122" t="str">
            <v>nd</v>
          </cell>
          <cell r="EF122">
            <v>31.296872799999996</v>
          </cell>
          <cell r="EG122">
            <v>6.7497351999999999</v>
          </cell>
          <cell r="EH122">
            <v>0.90871999999999997</v>
          </cell>
          <cell r="EI122" t="str">
            <v>nd</v>
          </cell>
          <cell r="EJ122" t="str">
            <v>nd</v>
          </cell>
          <cell r="EK122" t="str">
            <v>nd</v>
          </cell>
          <cell r="EL122">
            <v>35.341127300000004</v>
          </cell>
          <cell r="EM122">
            <v>1.9330000000000001</v>
          </cell>
          <cell r="EN122" t="str">
            <v>nd</v>
          </cell>
          <cell r="EO122">
            <v>0</v>
          </cell>
          <cell r="EP122">
            <v>0</v>
          </cell>
          <cell r="EQ122">
            <v>2.0864099999999999</v>
          </cell>
          <cell r="ER122">
            <v>5.37859</v>
          </cell>
          <cell r="ES122">
            <v>0</v>
          </cell>
          <cell r="ET122">
            <v>0</v>
          </cell>
          <cell r="EU122">
            <v>0</v>
          </cell>
          <cell r="EV122">
            <v>0</v>
          </cell>
          <cell r="EW122" t="str">
            <v>nd</v>
          </cell>
          <cell r="EX122">
            <v>0</v>
          </cell>
          <cell r="EY122">
            <v>0</v>
          </cell>
          <cell r="EZ122">
            <v>0</v>
          </cell>
          <cell r="FA122">
            <v>0</v>
          </cell>
          <cell r="FB122">
            <v>0</v>
          </cell>
          <cell r="FC122">
            <v>0</v>
          </cell>
          <cell r="FD122">
            <v>0</v>
          </cell>
          <cell r="FE122" t="str">
            <v>nd</v>
          </cell>
          <cell r="FF122" t="str">
            <v>nd</v>
          </cell>
          <cell r="FG122">
            <v>6.0064899999999994</v>
          </cell>
          <cell r="FH122">
            <v>3.7352099999999999</v>
          </cell>
          <cell r="FI122" t="str">
            <v>nd</v>
          </cell>
          <cell r="FJ122" t="str">
            <v>nd</v>
          </cell>
          <cell r="FK122">
            <v>0</v>
          </cell>
          <cell r="FL122">
            <v>4.9751700000000003</v>
          </cell>
          <cell r="FM122">
            <v>15.9135366</v>
          </cell>
          <cell r="FN122">
            <v>19.153124500000001</v>
          </cell>
          <cell r="FO122">
            <v>0</v>
          </cell>
          <cell r="FP122">
            <v>0</v>
          </cell>
          <cell r="FQ122" t="str">
            <v>nd</v>
          </cell>
          <cell r="FR122">
            <v>6.0626899999999999</v>
          </cell>
          <cell r="FS122">
            <v>15.8562239</v>
          </cell>
          <cell r="FT122">
            <v>17.2865605</v>
          </cell>
          <cell r="FU122">
            <v>0</v>
          </cell>
          <cell r="FV122">
            <v>0</v>
          </cell>
          <cell r="FW122">
            <v>0</v>
          </cell>
          <cell r="FX122" t="str">
            <v>nd</v>
          </cell>
          <cell r="FY122">
            <v>3.5895099999999998</v>
          </cell>
          <cell r="FZ122">
            <v>2.5189499999999998</v>
          </cell>
          <cell r="GA122">
            <v>0</v>
          </cell>
          <cell r="GB122">
            <v>0</v>
          </cell>
          <cell r="GC122">
            <v>0</v>
          </cell>
          <cell r="GD122">
            <v>0</v>
          </cell>
          <cell r="GE122">
            <v>0</v>
          </cell>
          <cell r="GF122" t="str">
            <v>nd</v>
          </cell>
          <cell r="GG122">
            <v>0</v>
          </cell>
          <cell r="GH122" t="str">
            <v>nd</v>
          </cell>
          <cell r="GI122">
            <v>4.8005199999999997</v>
          </cell>
          <cell r="GJ122">
            <v>4.6117900000000001</v>
          </cell>
          <cell r="GK122">
            <v>1.9467600000000003</v>
          </cell>
          <cell r="GL122">
            <v>0</v>
          </cell>
          <cell r="GM122">
            <v>0</v>
          </cell>
          <cell r="GN122" t="str">
            <v>nd</v>
          </cell>
          <cell r="GO122">
            <v>2.6447499999999997</v>
          </cell>
          <cell r="GP122">
            <v>17.719107300000001</v>
          </cell>
          <cell r="GQ122">
            <v>19.6602213</v>
          </cell>
          <cell r="GR122">
            <v>0</v>
          </cell>
          <cell r="GS122">
            <v>0</v>
          </cell>
          <cell r="GT122" t="str">
            <v>nd</v>
          </cell>
          <cell r="GU122">
            <v>0</v>
          </cell>
          <cell r="GV122">
            <v>12.5917099</v>
          </cell>
          <cell r="GW122">
            <v>26.2652432</v>
          </cell>
          <cell r="GX122">
            <v>0</v>
          </cell>
          <cell r="GY122">
            <v>0</v>
          </cell>
          <cell r="GZ122">
            <v>0</v>
          </cell>
          <cell r="HA122">
            <v>0</v>
          </cell>
          <cell r="HB122">
            <v>3.4392</v>
          </cell>
          <cell r="HC122">
            <v>2.8706900000000002</v>
          </cell>
          <cell r="HD122">
            <v>0</v>
          </cell>
          <cell r="HE122">
            <v>0</v>
          </cell>
          <cell r="HF122">
            <v>0</v>
          </cell>
          <cell r="HG122">
            <v>0</v>
          </cell>
          <cell r="HH122">
            <v>0</v>
          </cell>
          <cell r="HI122">
            <v>0</v>
          </cell>
          <cell r="HJ122">
            <v>0</v>
          </cell>
          <cell r="HK122">
            <v>0</v>
          </cell>
          <cell r="HL122">
            <v>2.2933700000000004</v>
          </cell>
          <cell r="HM122">
            <v>6.7266216000000005</v>
          </cell>
          <cell r="HN122">
            <v>3.6772499999999999</v>
          </cell>
          <cell r="HO122">
            <v>0</v>
          </cell>
          <cell r="HP122">
            <v>0</v>
          </cell>
          <cell r="HQ122">
            <v>0</v>
          </cell>
          <cell r="HR122">
            <v>4.6978299999999997</v>
          </cell>
          <cell r="HS122">
            <v>29.641422599999999</v>
          </cell>
          <cell r="HT122">
            <v>6.01919</v>
          </cell>
          <cell r="HU122">
            <v>0</v>
          </cell>
          <cell r="HV122">
            <v>0</v>
          </cell>
          <cell r="HW122">
            <v>0</v>
          </cell>
          <cell r="HX122">
            <v>5.6145500000000004</v>
          </cell>
          <cell r="HY122">
            <v>26.509708999999997</v>
          </cell>
          <cell r="HZ122">
            <v>8.3261045000000014</v>
          </cell>
          <cell r="IA122">
            <v>0</v>
          </cell>
          <cell r="IB122">
            <v>0</v>
          </cell>
          <cell r="IC122">
            <v>0</v>
          </cell>
          <cell r="ID122" t="str">
            <v>nd</v>
          </cell>
          <cell r="IE122">
            <v>2.8906000000000001</v>
          </cell>
          <cell r="IF122">
            <v>3.2347399999999999</v>
          </cell>
          <cell r="IG122">
            <v>0</v>
          </cell>
          <cell r="IH122">
            <v>0</v>
          </cell>
          <cell r="II122">
            <v>0</v>
          </cell>
          <cell r="IJ122">
            <v>0</v>
          </cell>
          <cell r="IK122">
            <v>0</v>
          </cell>
          <cell r="IL122">
            <v>0</v>
          </cell>
          <cell r="IM122">
            <v>0</v>
          </cell>
          <cell r="IN122" t="str">
            <v>nd</v>
          </cell>
          <cell r="IO122">
            <v>2.6588699999999998</v>
          </cell>
          <cell r="IP122">
            <v>6.296961500000001</v>
          </cell>
          <cell r="IQ122">
            <v>2.6011200000000003</v>
          </cell>
          <cell r="IR122">
            <v>0</v>
          </cell>
          <cell r="IS122">
            <v>0</v>
          </cell>
          <cell r="IT122" t="str">
            <v>nd</v>
          </cell>
          <cell r="IU122">
            <v>4.6021399999999995</v>
          </cell>
          <cell r="IV122">
            <v>23.323734999999999</v>
          </cell>
          <cell r="IW122">
            <v>13.213777099999998</v>
          </cell>
          <cell r="IX122">
            <v>0</v>
          </cell>
          <cell r="IY122">
            <v>0</v>
          </cell>
          <cell r="IZ122">
            <v>0</v>
          </cell>
          <cell r="JA122">
            <v>3.68126</v>
          </cell>
          <cell r="JB122">
            <v>19.394257700000001</v>
          </cell>
          <cell r="JC122">
            <v>16.511455899999998</v>
          </cell>
          <cell r="JD122">
            <v>0</v>
          </cell>
          <cell r="JE122">
            <v>0</v>
          </cell>
          <cell r="JF122">
            <v>0</v>
          </cell>
          <cell r="JG122" t="str">
            <v>nd</v>
          </cell>
          <cell r="JH122">
            <v>1.8649900000000001</v>
          </cell>
          <cell r="JI122">
            <v>3.1079699999999999</v>
          </cell>
          <cell r="JJ122">
            <v>0</v>
          </cell>
          <cell r="JK122">
            <v>0</v>
          </cell>
          <cell r="JL122">
            <v>0</v>
          </cell>
          <cell r="JM122">
            <v>0</v>
          </cell>
          <cell r="JN122">
            <v>0</v>
          </cell>
          <cell r="JO122">
            <v>0</v>
          </cell>
          <cell r="JP122">
            <v>0</v>
          </cell>
          <cell r="JQ122">
            <v>0</v>
          </cell>
          <cell r="JR122">
            <v>0</v>
          </cell>
          <cell r="JS122">
            <v>0</v>
          </cell>
          <cell r="JT122">
            <v>12.700636800000002</v>
          </cell>
          <cell r="JU122">
            <v>0</v>
          </cell>
          <cell r="JV122">
            <v>0</v>
          </cell>
          <cell r="JW122">
            <v>0</v>
          </cell>
          <cell r="JX122">
            <v>0</v>
          </cell>
          <cell r="JY122">
            <v>0</v>
          </cell>
          <cell r="JZ122">
            <v>40.896001399999996</v>
          </cell>
          <cell r="KA122">
            <v>0</v>
          </cell>
          <cell r="KB122">
            <v>0</v>
          </cell>
          <cell r="KC122">
            <v>0</v>
          </cell>
          <cell r="KD122">
            <v>0</v>
          </cell>
          <cell r="KE122" t="str">
            <v>nd</v>
          </cell>
          <cell r="KF122">
            <v>39.020327100000003</v>
          </cell>
          <cell r="KG122">
            <v>0</v>
          </cell>
          <cell r="KH122">
            <v>0</v>
          </cell>
          <cell r="KI122">
            <v>0</v>
          </cell>
          <cell r="KJ122">
            <v>0</v>
          </cell>
          <cell r="KK122" t="str">
            <v>nd</v>
          </cell>
          <cell r="KL122">
            <v>5.3394200000000005</v>
          </cell>
          <cell r="KM122">
            <v>76.099999999999994</v>
          </cell>
          <cell r="KN122">
            <v>5.7</v>
          </cell>
          <cell r="KO122">
            <v>6.3</v>
          </cell>
          <cell r="KP122">
            <v>5.7</v>
          </cell>
          <cell r="KQ122">
            <v>6.1</v>
          </cell>
          <cell r="KR122">
            <v>0.2</v>
          </cell>
          <cell r="KS122">
            <v>74.099999999999994</v>
          </cell>
          <cell r="KT122">
            <v>6.3</v>
          </cell>
          <cell r="KU122">
            <v>6.5</v>
          </cell>
          <cell r="KV122">
            <v>6.3</v>
          </cell>
          <cell r="KW122">
            <v>6.6000000000000005</v>
          </cell>
          <cell r="KX122">
            <v>0.2</v>
          </cell>
          <cell r="KY122"/>
          <cell r="KZ122"/>
          <cell r="LA122"/>
          <cell r="LB122"/>
          <cell r="LC122"/>
          <cell r="LD122"/>
          <cell r="LE122"/>
          <cell r="LF122"/>
          <cell r="LG122"/>
          <cell r="LH122"/>
          <cell r="LI122"/>
          <cell r="LJ122"/>
          <cell r="LK122"/>
          <cell r="LL122"/>
          <cell r="LM122"/>
          <cell r="LN122"/>
          <cell r="LO122"/>
        </row>
        <row r="123">
          <cell r="A123" t="str">
            <v>EnsCD</v>
          </cell>
          <cell r="B123" t="str">
            <v>123</v>
          </cell>
          <cell r="C123" t="str">
            <v>NAF 38</v>
          </cell>
          <cell r="D123" t="str">
            <v>CD</v>
          </cell>
          <cell r="E123" t="str">
            <v/>
          </cell>
          <cell r="F123">
            <v>0</v>
          </cell>
          <cell r="G123" t="str">
            <v>nd</v>
          </cell>
          <cell r="H123" t="str">
            <v>nd</v>
          </cell>
          <cell r="I123" t="str">
            <v>nd</v>
          </cell>
          <cell r="J123">
            <v>4</v>
          </cell>
          <cell r="K123">
            <v>100</v>
          </cell>
          <cell r="L123">
            <v>0</v>
          </cell>
          <cell r="M123">
            <v>0</v>
          </cell>
          <cell r="N123">
            <v>0</v>
          </cell>
          <cell r="O123" t="str">
            <v>nd</v>
          </cell>
          <cell r="P123">
            <v>4.3</v>
          </cell>
          <cell r="Q123" t="str">
            <v>nd</v>
          </cell>
          <cell r="R123">
            <v>0</v>
          </cell>
          <cell r="S123">
            <v>0</v>
          </cell>
          <cell r="T123" t="str">
            <v>nd</v>
          </cell>
          <cell r="U123">
            <v>0</v>
          </cell>
          <cell r="V123" t="str">
            <v>nd</v>
          </cell>
          <cell r="W123">
            <v>0</v>
          </cell>
          <cell r="X123">
            <v>100</v>
          </cell>
          <cell r="Y123">
            <v>0</v>
          </cell>
          <cell r="Z123">
            <v>0</v>
          </cell>
          <cell r="AA123">
            <v>0</v>
          </cell>
          <cell r="AB123">
            <v>0</v>
          </cell>
          <cell r="AC123">
            <v>0</v>
          </cell>
          <cell r="AD123">
            <v>0</v>
          </cell>
          <cell r="AE123">
            <v>13.700000000000001</v>
          </cell>
          <cell r="AF123">
            <v>86.3</v>
          </cell>
          <cell r="AG123">
            <v>100</v>
          </cell>
          <cell r="AH123">
            <v>0</v>
          </cell>
          <cell r="AI123" t="str">
            <v>nd</v>
          </cell>
          <cell r="AJ123">
            <v>0</v>
          </cell>
          <cell r="AK123">
            <v>0</v>
          </cell>
          <cell r="AL123" t="str">
            <v>nd</v>
          </cell>
          <cell r="AM123">
            <v>0</v>
          </cell>
          <cell r="AN123">
            <v>0</v>
          </cell>
          <cell r="AO123">
            <v>0</v>
          </cell>
          <cell r="AP123">
            <v>0</v>
          </cell>
          <cell r="AQ123">
            <v>100</v>
          </cell>
          <cell r="AR123">
            <v>0</v>
          </cell>
          <cell r="AS123" t="str">
            <v>nd</v>
          </cell>
          <cell r="AT123">
            <v>98.6</v>
          </cell>
          <cell r="AU123">
            <v>0</v>
          </cell>
          <cell r="AV123">
            <v>0</v>
          </cell>
          <cell r="AW123">
            <v>0</v>
          </cell>
          <cell r="AX123">
            <v>0</v>
          </cell>
          <cell r="AY123">
            <v>0</v>
          </cell>
          <cell r="AZ123">
            <v>0</v>
          </cell>
          <cell r="BA123">
            <v>0</v>
          </cell>
          <cell r="BB123">
            <v>96</v>
          </cell>
          <cell r="BC123" t="str">
            <v>nd</v>
          </cell>
          <cell r="BD123" t="str">
            <v>nd</v>
          </cell>
          <cell r="BE123">
            <v>0</v>
          </cell>
          <cell r="BF123">
            <v>0</v>
          </cell>
          <cell r="BG123">
            <v>0</v>
          </cell>
          <cell r="BH123">
            <v>0</v>
          </cell>
          <cell r="BI123" t="str">
            <v>nd</v>
          </cell>
          <cell r="BJ123">
            <v>97.399999999999991</v>
          </cell>
          <cell r="BK123">
            <v>0</v>
          </cell>
          <cell r="BL123">
            <v>0</v>
          </cell>
          <cell r="BM123">
            <v>0</v>
          </cell>
          <cell r="BN123" t="str">
            <v>nd</v>
          </cell>
          <cell r="BO123">
            <v>74.900000000000006</v>
          </cell>
          <cell r="BP123" t="str">
            <v>nd</v>
          </cell>
          <cell r="BQ123">
            <v>0</v>
          </cell>
          <cell r="BR123">
            <v>0</v>
          </cell>
          <cell r="BS123">
            <v>0</v>
          </cell>
          <cell r="BT123">
            <v>0</v>
          </cell>
          <cell r="BU123">
            <v>85.5</v>
          </cell>
          <cell r="BV123" t="str">
            <v>nd</v>
          </cell>
          <cell r="BW123">
            <v>0</v>
          </cell>
          <cell r="BX123">
            <v>0</v>
          </cell>
          <cell r="BY123">
            <v>0</v>
          </cell>
          <cell r="BZ123">
            <v>0</v>
          </cell>
          <cell r="CA123">
            <v>0</v>
          </cell>
          <cell r="CB123">
            <v>100</v>
          </cell>
          <cell r="CC123">
            <v>0</v>
          </cell>
          <cell r="CD123" t="str">
            <v>nd</v>
          </cell>
          <cell r="CE123">
            <v>0</v>
          </cell>
          <cell r="CF123">
            <v>0</v>
          </cell>
          <cell r="CG123">
            <v>0</v>
          </cell>
          <cell r="CH123" t="str">
            <v>nd</v>
          </cell>
          <cell r="CI123" t="str">
            <v>nd</v>
          </cell>
          <cell r="CJ123">
            <v>16.8</v>
          </cell>
          <cell r="CK123">
            <v>72.2</v>
          </cell>
          <cell r="CL123" t="str">
            <v>nd</v>
          </cell>
          <cell r="CM123" t="str">
            <v>nd</v>
          </cell>
          <cell r="CN123" t="str">
            <v>nd</v>
          </cell>
          <cell r="CO123">
            <v>17.599999999999998</v>
          </cell>
          <cell r="CP123">
            <v>14.799999999999999</v>
          </cell>
          <cell r="CQ123">
            <v>82.399999999999991</v>
          </cell>
          <cell r="CR123">
            <v>0</v>
          </cell>
          <cell r="CS123" t="str">
            <v>nd</v>
          </cell>
          <cell r="CT123">
            <v>0</v>
          </cell>
          <cell r="CU123">
            <v>100</v>
          </cell>
          <cell r="CV123" t="str">
            <v>nd</v>
          </cell>
          <cell r="CW123">
            <v>97.899999999999991</v>
          </cell>
          <cell r="CX123" t="str">
            <v>nd</v>
          </cell>
          <cell r="CY123">
            <v>72.8</v>
          </cell>
          <cell r="CZ123">
            <v>26.200000000000003</v>
          </cell>
          <cell r="DA123">
            <v>0</v>
          </cell>
          <cell r="DB123">
            <v>0</v>
          </cell>
          <cell r="DC123" t="str">
            <v>nd</v>
          </cell>
          <cell r="DD123">
            <v>0</v>
          </cell>
          <cell r="DE123">
            <v>0</v>
          </cell>
          <cell r="DF123">
            <v>4.5999999999999996</v>
          </cell>
          <cell r="DG123">
            <v>0</v>
          </cell>
          <cell r="DH123" t="str">
            <v>nd</v>
          </cell>
          <cell r="DI123" t="str">
            <v>nd</v>
          </cell>
          <cell r="DJ123" t="str">
            <v>nd</v>
          </cell>
          <cell r="DK123" t="str">
            <v>nd</v>
          </cell>
          <cell r="DL123" t="str">
            <v>nd</v>
          </cell>
          <cell r="DM123" t="str">
            <v>nd</v>
          </cell>
          <cell r="DN123" t="str">
            <v>nd</v>
          </cell>
          <cell r="DO123" t="str">
            <v>nd</v>
          </cell>
          <cell r="DP123" t="str">
            <v>nd</v>
          </cell>
          <cell r="DQ123" t="str">
            <v>nd</v>
          </cell>
          <cell r="DR123" t="str">
            <v>nd</v>
          </cell>
          <cell r="DS123" t="str">
            <v>nd</v>
          </cell>
          <cell r="DT123">
            <v>0</v>
          </cell>
          <cell r="DU123">
            <v>0</v>
          </cell>
          <cell r="DV123">
            <v>0</v>
          </cell>
          <cell r="DW123">
            <v>0</v>
          </cell>
          <cell r="DX123">
            <v>0</v>
          </cell>
          <cell r="DY123">
            <v>0</v>
          </cell>
          <cell r="DZ123">
            <v>0</v>
          </cell>
          <cell r="EA123" t="str">
            <v>nd</v>
          </cell>
          <cell r="EB123">
            <v>0</v>
          </cell>
          <cell r="EC123">
            <v>0</v>
          </cell>
          <cell r="ED123">
            <v>0</v>
          </cell>
          <cell r="EE123">
            <v>0</v>
          </cell>
          <cell r="EF123">
            <v>0</v>
          </cell>
          <cell r="EG123" t="str">
            <v>nd</v>
          </cell>
          <cell r="EH123">
            <v>0</v>
          </cell>
          <cell r="EI123">
            <v>0</v>
          </cell>
          <cell r="EJ123">
            <v>0</v>
          </cell>
          <cell r="EK123">
            <v>0</v>
          </cell>
          <cell r="EL123">
            <v>0</v>
          </cell>
          <cell r="EM123" t="str">
            <v>nd</v>
          </cell>
          <cell r="EN123">
            <v>0</v>
          </cell>
          <cell r="EO123">
            <v>0</v>
          </cell>
          <cell r="EP123">
            <v>0</v>
          </cell>
          <cell r="EQ123">
            <v>0</v>
          </cell>
          <cell r="ER123" t="str">
            <v>nd</v>
          </cell>
          <cell r="ES123" t="str">
            <v>nd</v>
          </cell>
          <cell r="ET123">
            <v>0</v>
          </cell>
          <cell r="EU123">
            <v>0</v>
          </cell>
          <cell r="EV123">
            <v>0</v>
          </cell>
          <cell r="EW123">
            <v>0</v>
          </cell>
          <cell r="EX123">
            <v>0</v>
          </cell>
          <cell r="EY123">
            <v>0</v>
          </cell>
          <cell r="EZ123">
            <v>0</v>
          </cell>
          <cell r="FA123">
            <v>0</v>
          </cell>
          <cell r="FB123">
            <v>0</v>
          </cell>
          <cell r="FC123">
            <v>0</v>
          </cell>
          <cell r="FD123">
            <v>0</v>
          </cell>
          <cell r="FE123">
            <v>0</v>
          </cell>
          <cell r="FF123" t="str">
            <v>nd</v>
          </cell>
          <cell r="FG123">
            <v>0</v>
          </cell>
          <cell r="FH123">
            <v>0</v>
          </cell>
          <cell r="FI123">
            <v>0</v>
          </cell>
          <cell r="FJ123">
            <v>0</v>
          </cell>
          <cell r="FK123">
            <v>0</v>
          </cell>
          <cell r="FL123" t="str">
            <v>nd</v>
          </cell>
          <cell r="FM123">
            <v>0</v>
          </cell>
          <cell r="FN123">
            <v>0</v>
          </cell>
          <cell r="FO123">
            <v>0</v>
          </cell>
          <cell r="FP123">
            <v>0</v>
          </cell>
          <cell r="FQ123">
            <v>0</v>
          </cell>
          <cell r="FR123" t="str">
            <v>nd</v>
          </cell>
          <cell r="FS123">
            <v>0</v>
          </cell>
          <cell r="FT123">
            <v>0</v>
          </cell>
          <cell r="FU123">
            <v>0</v>
          </cell>
          <cell r="FV123">
            <v>0</v>
          </cell>
          <cell r="FW123">
            <v>0</v>
          </cell>
          <cell r="FX123">
            <v>0</v>
          </cell>
          <cell r="FY123" t="str">
            <v>nd</v>
          </cell>
          <cell r="FZ123" t="str">
            <v>nd</v>
          </cell>
          <cell r="GA123">
            <v>0</v>
          </cell>
          <cell r="GB123">
            <v>0</v>
          </cell>
          <cell r="GC123">
            <v>0</v>
          </cell>
          <cell r="GD123">
            <v>0</v>
          </cell>
          <cell r="GE123">
            <v>0</v>
          </cell>
          <cell r="GF123">
            <v>0</v>
          </cell>
          <cell r="GG123">
            <v>0</v>
          </cell>
          <cell r="GH123">
            <v>0</v>
          </cell>
          <cell r="GI123">
            <v>0</v>
          </cell>
          <cell r="GJ123">
            <v>0</v>
          </cell>
          <cell r="GK123" t="str">
            <v>nd</v>
          </cell>
          <cell r="GL123">
            <v>0</v>
          </cell>
          <cell r="GM123">
            <v>0</v>
          </cell>
          <cell r="GN123">
            <v>0</v>
          </cell>
          <cell r="GO123">
            <v>0</v>
          </cell>
          <cell r="GP123">
            <v>0</v>
          </cell>
          <cell r="GQ123" t="str">
            <v>nd</v>
          </cell>
          <cell r="GR123">
            <v>0</v>
          </cell>
          <cell r="GS123">
            <v>0</v>
          </cell>
          <cell r="GT123">
            <v>0</v>
          </cell>
          <cell r="GU123">
            <v>0</v>
          </cell>
          <cell r="GV123">
            <v>0</v>
          </cell>
          <cell r="GW123" t="str">
            <v>nd</v>
          </cell>
          <cell r="GX123">
            <v>0</v>
          </cell>
          <cell r="GY123">
            <v>0</v>
          </cell>
          <cell r="GZ123">
            <v>0</v>
          </cell>
          <cell r="HA123">
            <v>0</v>
          </cell>
          <cell r="HB123" t="str">
            <v>nd</v>
          </cell>
          <cell r="HC123" t="str">
            <v>nd</v>
          </cell>
          <cell r="HD123">
            <v>0</v>
          </cell>
          <cell r="HE123">
            <v>0</v>
          </cell>
          <cell r="HF123">
            <v>0</v>
          </cell>
          <cell r="HG123">
            <v>0</v>
          </cell>
          <cell r="HH123">
            <v>0</v>
          </cell>
          <cell r="HI123">
            <v>0</v>
          </cell>
          <cell r="HJ123">
            <v>0</v>
          </cell>
          <cell r="HK123">
            <v>0</v>
          </cell>
          <cell r="HL123" t="str">
            <v>nd</v>
          </cell>
          <cell r="HM123">
            <v>0</v>
          </cell>
          <cell r="HN123" t="str">
            <v>nd</v>
          </cell>
          <cell r="HO123">
            <v>0</v>
          </cell>
          <cell r="HP123">
            <v>0</v>
          </cell>
          <cell r="HQ123">
            <v>0</v>
          </cell>
          <cell r="HR123">
            <v>0</v>
          </cell>
          <cell r="HS123" t="str">
            <v>nd</v>
          </cell>
          <cell r="HT123">
            <v>0</v>
          </cell>
          <cell r="HU123">
            <v>0</v>
          </cell>
          <cell r="HV123">
            <v>0</v>
          </cell>
          <cell r="HW123">
            <v>0</v>
          </cell>
          <cell r="HX123" t="str">
            <v>nd</v>
          </cell>
          <cell r="HY123" t="str">
            <v>nd</v>
          </cell>
          <cell r="HZ123">
            <v>0</v>
          </cell>
          <cell r="IA123">
            <v>0</v>
          </cell>
          <cell r="IB123">
            <v>0</v>
          </cell>
          <cell r="IC123">
            <v>0</v>
          </cell>
          <cell r="ID123">
            <v>0</v>
          </cell>
          <cell r="IE123">
            <v>4.0492800000000004</v>
          </cell>
          <cell r="IF123">
            <v>0</v>
          </cell>
          <cell r="IG123">
            <v>0</v>
          </cell>
          <cell r="IH123">
            <v>0</v>
          </cell>
          <cell r="II123">
            <v>0</v>
          </cell>
          <cell r="IJ123">
            <v>0</v>
          </cell>
          <cell r="IK123">
            <v>0</v>
          </cell>
          <cell r="IL123">
            <v>0</v>
          </cell>
          <cell r="IM123">
            <v>0</v>
          </cell>
          <cell r="IN123">
            <v>0</v>
          </cell>
          <cell r="IO123">
            <v>0</v>
          </cell>
          <cell r="IP123" t="str">
            <v>nd</v>
          </cell>
          <cell r="IQ123" t="str">
            <v>nd</v>
          </cell>
          <cell r="IR123">
            <v>0</v>
          </cell>
          <cell r="IS123">
            <v>0</v>
          </cell>
          <cell r="IT123">
            <v>0</v>
          </cell>
          <cell r="IU123">
            <v>0</v>
          </cell>
          <cell r="IV123" t="str">
            <v>nd</v>
          </cell>
          <cell r="IW123">
            <v>0</v>
          </cell>
          <cell r="IX123">
            <v>0</v>
          </cell>
          <cell r="IY123">
            <v>0</v>
          </cell>
          <cell r="IZ123">
            <v>0</v>
          </cell>
          <cell r="JA123">
            <v>0</v>
          </cell>
          <cell r="JB123">
            <v>0</v>
          </cell>
          <cell r="JC123" t="str">
            <v>nd</v>
          </cell>
          <cell r="JD123">
            <v>0</v>
          </cell>
          <cell r="JE123">
            <v>0</v>
          </cell>
          <cell r="JF123">
            <v>0</v>
          </cell>
          <cell r="JG123">
            <v>0</v>
          </cell>
          <cell r="JH123">
            <v>4.0492800000000004</v>
          </cell>
          <cell r="JI123">
            <v>0</v>
          </cell>
          <cell r="JJ123">
            <v>0</v>
          </cell>
          <cell r="JK123">
            <v>0</v>
          </cell>
          <cell r="JL123">
            <v>0</v>
          </cell>
          <cell r="JM123">
            <v>0</v>
          </cell>
          <cell r="JN123">
            <v>0</v>
          </cell>
          <cell r="JO123">
            <v>0</v>
          </cell>
          <cell r="JP123">
            <v>0</v>
          </cell>
          <cell r="JQ123">
            <v>0</v>
          </cell>
          <cell r="JR123">
            <v>0</v>
          </cell>
          <cell r="JS123">
            <v>0</v>
          </cell>
          <cell r="JT123" t="str">
            <v>nd</v>
          </cell>
          <cell r="JU123">
            <v>0</v>
          </cell>
          <cell r="JV123">
            <v>0</v>
          </cell>
          <cell r="JW123">
            <v>0</v>
          </cell>
          <cell r="JX123">
            <v>0</v>
          </cell>
          <cell r="JY123">
            <v>0</v>
          </cell>
          <cell r="JZ123" t="str">
            <v>nd</v>
          </cell>
          <cell r="KA123">
            <v>0</v>
          </cell>
          <cell r="KB123">
            <v>0</v>
          </cell>
          <cell r="KC123">
            <v>0</v>
          </cell>
          <cell r="KD123">
            <v>0</v>
          </cell>
          <cell r="KE123">
            <v>0</v>
          </cell>
          <cell r="KF123" t="str">
            <v>nd</v>
          </cell>
          <cell r="KG123">
            <v>0</v>
          </cell>
          <cell r="KH123">
            <v>0</v>
          </cell>
          <cell r="KI123">
            <v>0</v>
          </cell>
          <cell r="KJ123">
            <v>0</v>
          </cell>
          <cell r="KK123">
            <v>0</v>
          </cell>
          <cell r="KL123">
            <v>4.0492800000000004</v>
          </cell>
          <cell r="KM123">
            <v>69</v>
          </cell>
          <cell r="KN123">
            <v>20</v>
          </cell>
          <cell r="KO123">
            <v>0.2</v>
          </cell>
          <cell r="KP123">
            <v>6.3</v>
          </cell>
          <cell r="KQ123">
            <v>4.5</v>
          </cell>
          <cell r="KR123">
            <v>0</v>
          </cell>
          <cell r="KS123">
            <v>62.1</v>
          </cell>
          <cell r="KT123">
            <v>27.1</v>
          </cell>
          <cell r="KU123">
            <v>0.2</v>
          </cell>
          <cell r="KV123">
            <v>6.6000000000000005</v>
          </cell>
          <cell r="KW123">
            <v>4</v>
          </cell>
          <cell r="KX123">
            <v>0</v>
          </cell>
          <cell r="KY123"/>
          <cell r="KZ123"/>
          <cell r="LA123"/>
          <cell r="LB123"/>
          <cell r="LC123"/>
          <cell r="LD123"/>
          <cell r="LE123"/>
          <cell r="LF123"/>
          <cell r="LG123"/>
          <cell r="LH123"/>
          <cell r="LI123"/>
          <cell r="LJ123"/>
          <cell r="LK123"/>
          <cell r="LL123"/>
          <cell r="LM123"/>
          <cell r="LN123"/>
          <cell r="LO123"/>
        </row>
        <row r="124">
          <cell r="A124" t="str">
            <v>EnsCE</v>
          </cell>
          <cell r="B124" t="str">
            <v>124</v>
          </cell>
          <cell r="C124" t="str">
            <v>NAF 38</v>
          </cell>
          <cell r="D124" t="str">
            <v>CE</v>
          </cell>
          <cell r="E124" t="str">
            <v/>
          </cell>
          <cell r="F124" t="str">
            <v>nd</v>
          </cell>
          <cell r="G124">
            <v>10.7</v>
          </cell>
          <cell r="H124">
            <v>35.9</v>
          </cell>
          <cell r="I124">
            <v>40.400000000000006</v>
          </cell>
          <cell r="J124">
            <v>12.8</v>
          </cell>
          <cell r="K124">
            <v>85.3</v>
          </cell>
          <cell r="L124">
            <v>6</v>
          </cell>
          <cell r="M124">
            <v>1.7000000000000002</v>
          </cell>
          <cell r="N124">
            <v>6.9</v>
          </cell>
          <cell r="O124">
            <v>15.8</v>
          </cell>
          <cell r="P124">
            <v>22.2</v>
          </cell>
          <cell r="Q124">
            <v>23.400000000000002</v>
          </cell>
          <cell r="R124">
            <v>13.200000000000001</v>
          </cell>
          <cell r="S124">
            <v>15.7</v>
          </cell>
          <cell r="T124">
            <v>38.299999999999997</v>
          </cell>
          <cell r="U124">
            <v>2.5</v>
          </cell>
          <cell r="V124">
            <v>19.7</v>
          </cell>
          <cell r="W124">
            <v>3</v>
          </cell>
          <cell r="X124">
            <v>85.8</v>
          </cell>
          <cell r="Y124">
            <v>11.200000000000001</v>
          </cell>
          <cell r="Z124" t="str">
            <v>nd</v>
          </cell>
          <cell r="AA124" t="str">
            <v>nd</v>
          </cell>
          <cell r="AB124" t="str">
            <v>nd</v>
          </cell>
          <cell r="AC124">
            <v>66.7</v>
          </cell>
          <cell r="AD124" t="str">
            <v>nd</v>
          </cell>
          <cell r="AE124">
            <v>45.6</v>
          </cell>
          <cell r="AF124">
            <v>54.400000000000006</v>
          </cell>
          <cell r="AG124">
            <v>86.8</v>
          </cell>
          <cell r="AH124">
            <v>13.200000000000001</v>
          </cell>
          <cell r="AI124">
            <v>33.1</v>
          </cell>
          <cell r="AJ124" t="str">
            <v>nd</v>
          </cell>
          <cell r="AK124">
            <v>3.9</v>
          </cell>
          <cell r="AL124">
            <v>57.199999999999996</v>
          </cell>
          <cell r="AM124">
            <v>4.3999999999999995</v>
          </cell>
          <cell r="AN124">
            <v>13.900000000000002</v>
          </cell>
          <cell r="AO124">
            <v>3.6999999999999997</v>
          </cell>
          <cell r="AP124" t="str">
            <v>nd</v>
          </cell>
          <cell r="AQ124">
            <v>78.2</v>
          </cell>
          <cell r="AR124">
            <v>3.5000000000000004</v>
          </cell>
          <cell r="AS124">
            <v>55.900000000000006</v>
          </cell>
          <cell r="AT124">
            <v>22.400000000000002</v>
          </cell>
          <cell r="AU124">
            <v>12.7</v>
          </cell>
          <cell r="AV124">
            <v>4.2</v>
          </cell>
          <cell r="AW124">
            <v>1.9</v>
          </cell>
          <cell r="AX124">
            <v>2.8000000000000003</v>
          </cell>
          <cell r="AY124">
            <v>3.5999999999999996</v>
          </cell>
          <cell r="AZ124">
            <v>8.2000000000000011</v>
          </cell>
          <cell r="BA124">
            <v>10.5</v>
          </cell>
          <cell r="BB124">
            <v>22.2</v>
          </cell>
          <cell r="BC124">
            <v>45.6</v>
          </cell>
          <cell r="BD124">
            <v>9.9</v>
          </cell>
          <cell r="BE124">
            <v>0.6</v>
          </cell>
          <cell r="BF124" t="str">
            <v>nd</v>
          </cell>
          <cell r="BG124" t="str">
            <v>nd</v>
          </cell>
          <cell r="BH124">
            <v>3</v>
          </cell>
          <cell r="BI124">
            <v>32.300000000000004</v>
          </cell>
          <cell r="BJ124">
            <v>62.4</v>
          </cell>
          <cell r="BK124" t="str">
            <v>nd</v>
          </cell>
          <cell r="BL124">
            <v>0</v>
          </cell>
          <cell r="BM124" t="str">
            <v>nd</v>
          </cell>
          <cell r="BN124">
            <v>11.5</v>
          </cell>
          <cell r="BO124">
            <v>76.900000000000006</v>
          </cell>
          <cell r="BP124">
            <v>10.9</v>
          </cell>
          <cell r="BQ124">
            <v>0</v>
          </cell>
          <cell r="BR124">
            <v>0</v>
          </cell>
          <cell r="BS124">
            <v>2</v>
          </cell>
          <cell r="BT124">
            <v>11.200000000000001</v>
          </cell>
          <cell r="BU124">
            <v>71.5</v>
          </cell>
          <cell r="BV124">
            <v>15.299999999999999</v>
          </cell>
          <cell r="BW124">
            <v>0</v>
          </cell>
          <cell r="BX124">
            <v>0</v>
          </cell>
          <cell r="BY124">
            <v>0</v>
          </cell>
          <cell r="BZ124" t="str">
            <v>nd</v>
          </cell>
          <cell r="CA124" t="str">
            <v>nd</v>
          </cell>
          <cell r="CB124">
            <v>97.5</v>
          </cell>
          <cell r="CC124">
            <v>25.4</v>
          </cell>
          <cell r="CD124">
            <v>6.4</v>
          </cell>
          <cell r="CE124">
            <v>2.6</v>
          </cell>
          <cell r="CF124">
            <v>2.1</v>
          </cell>
          <cell r="CG124" t="str">
            <v>nd</v>
          </cell>
          <cell r="CH124">
            <v>7.3</v>
          </cell>
          <cell r="CI124">
            <v>6.4</v>
          </cell>
          <cell r="CJ124">
            <v>64.8</v>
          </cell>
          <cell r="CK124">
            <v>29.9</v>
          </cell>
          <cell r="CL124">
            <v>9.8000000000000007</v>
          </cell>
          <cell r="CM124">
            <v>4.5999999999999996</v>
          </cell>
          <cell r="CN124" t="str">
            <v>nd</v>
          </cell>
          <cell r="CO124">
            <v>63.4</v>
          </cell>
          <cell r="CP124">
            <v>25.4</v>
          </cell>
          <cell r="CQ124">
            <v>36.700000000000003</v>
          </cell>
          <cell r="CR124">
            <v>7.3</v>
          </cell>
          <cell r="CS124">
            <v>30.5</v>
          </cell>
          <cell r="CT124">
            <v>16.2</v>
          </cell>
          <cell r="CU124">
            <v>83.8</v>
          </cell>
          <cell r="CV124">
            <v>30.9</v>
          </cell>
          <cell r="CW124">
            <v>69.099999999999994</v>
          </cell>
          <cell r="CX124">
            <v>23.599999999999998</v>
          </cell>
          <cell r="CY124">
            <v>38.800000000000004</v>
          </cell>
          <cell r="CZ124">
            <v>37.5</v>
          </cell>
          <cell r="DA124">
            <v>50.2</v>
          </cell>
          <cell r="DB124">
            <v>7.8</v>
          </cell>
          <cell r="DC124">
            <v>13.8</v>
          </cell>
          <cell r="DD124" t="str">
            <v>nd</v>
          </cell>
          <cell r="DE124">
            <v>41</v>
          </cell>
          <cell r="DF124">
            <v>24.099999999999998</v>
          </cell>
          <cell r="DG124">
            <v>5.4</v>
          </cell>
          <cell r="DH124">
            <v>8.2000000000000011</v>
          </cell>
          <cell r="DI124">
            <v>16.7</v>
          </cell>
          <cell r="DJ124">
            <v>20.100000000000001</v>
          </cell>
          <cell r="DK124">
            <v>25.4</v>
          </cell>
          <cell r="DL124">
            <v>25.7</v>
          </cell>
          <cell r="DM124">
            <v>42.3</v>
          </cell>
          <cell r="DN124">
            <v>8.1</v>
          </cell>
          <cell r="DO124">
            <v>18.2</v>
          </cell>
          <cell r="DP124">
            <v>8</v>
          </cell>
          <cell r="DQ124">
            <v>1</v>
          </cell>
          <cell r="DR124">
            <v>17.7</v>
          </cell>
          <cell r="DS124">
            <v>13.600000000000001</v>
          </cell>
          <cell r="DT124">
            <v>17</v>
          </cell>
          <cell r="DU124">
            <v>0</v>
          </cell>
          <cell r="DV124">
            <v>0</v>
          </cell>
          <cell r="DW124">
            <v>0</v>
          </cell>
          <cell r="DX124">
            <v>0</v>
          </cell>
          <cell r="DY124" t="str">
            <v>nd</v>
          </cell>
          <cell r="DZ124">
            <v>5.3304799999999997</v>
          </cell>
          <cell r="EA124">
            <v>3.3796200000000001</v>
          </cell>
          <cell r="EB124" t="str">
            <v>nd</v>
          </cell>
          <cell r="EC124" t="str">
            <v>nd</v>
          </cell>
          <cell r="ED124" t="str">
            <v>nd</v>
          </cell>
          <cell r="EE124">
            <v>0</v>
          </cell>
          <cell r="EF124">
            <v>16.0537797</v>
          </cell>
          <cell r="EG124">
            <v>8.3152417000000014</v>
          </cell>
          <cell r="EH124">
            <v>7.0405451999999995</v>
          </cell>
          <cell r="EI124">
            <v>2.9206300000000001</v>
          </cell>
          <cell r="EJ124" t="str">
            <v>nd</v>
          </cell>
          <cell r="EK124" t="str">
            <v>nd</v>
          </cell>
          <cell r="EL124">
            <v>26.396663100000001</v>
          </cell>
          <cell r="EM124">
            <v>7.3377369999999997</v>
          </cell>
          <cell r="EN124">
            <v>3.3939599999999999</v>
          </cell>
          <cell r="EO124" t="str">
            <v>nd</v>
          </cell>
          <cell r="EP124" t="str">
            <v>nd</v>
          </cell>
          <cell r="EQ124">
            <v>1.1281099999999999</v>
          </cell>
          <cell r="ER124">
            <v>7.5500529999999992</v>
          </cell>
          <cell r="ES124">
            <v>3.5369900000000003</v>
          </cell>
          <cell r="ET124" t="str">
            <v>nd</v>
          </cell>
          <cell r="EU124">
            <v>0</v>
          </cell>
          <cell r="EV124">
            <v>0</v>
          </cell>
          <cell r="EW124">
            <v>0</v>
          </cell>
          <cell r="EX124">
            <v>0</v>
          </cell>
          <cell r="EY124" t="str">
            <v>nd</v>
          </cell>
          <cell r="EZ124">
            <v>0</v>
          </cell>
          <cell r="FA124">
            <v>0</v>
          </cell>
          <cell r="FB124">
            <v>0</v>
          </cell>
          <cell r="FC124" t="str">
            <v>nd</v>
          </cell>
          <cell r="FD124" t="str">
            <v>nd</v>
          </cell>
          <cell r="FE124" t="str">
            <v>nd</v>
          </cell>
          <cell r="FF124" t="str">
            <v>nd</v>
          </cell>
          <cell r="FG124">
            <v>7.4249388999999999</v>
          </cell>
          <cell r="FH124" t="str">
            <v>nd</v>
          </cell>
          <cell r="FI124" t="str">
            <v>nd</v>
          </cell>
          <cell r="FJ124">
            <v>4.8637800000000002</v>
          </cell>
          <cell r="FK124">
            <v>6.2951897000000008</v>
          </cell>
          <cell r="FL124">
            <v>7.7885122999999998</v>
          </cell>
          <cell r="FM124">
            <v>13.1105096</v>
          </cell>
          <cell r="FN124">
            <v>2.94428</v>
          </cell>
          <cell r="FO124">
            <v>2.5375000000000001</v>
          </cell>
          <cell r="FP124">
            <v>3.1357200000000001</v>
          </cell>
          <cell r="FQ124">
            <v>1.9461999999999999</v>
          </cell>
          <cell r="FR124">
            <v>8.7176188000000003</v>
          </cell>
          <cell r="FS124">
            <v>20.114286200000002</v>
          </cell>
          <cell r="FT124">
            <v>3.6961599999999999</v>
          </cell>
          <cell r="FU124">
            <v>0</v>
          </cell>
          <cell r="FV124">
            <v>0</v>
          </cell>
          <cell r="FW124">
            <v>1.9438</v>
          </cell>
          <cell r="FX124">
            <v>4.7208300000000003</v>
          </cell>
          <cell r="FY124">
            <v>4.8322200000000004</v>
          </cell>
          <cell r="FZ124">
            <v>1.53068</v>
          </cell>
          <cell r="GA124" t="str">
            <v>nd</v>
          </cell>
          <cell r="GB124">
            <v>0</v>
          </cell>
          <cell r="GC124">
            <v>0</v>
          </cell>
          <cell r="GD124">
            <v>0</v>
          </cell>
          <cell r="GE124">
            <v>0</v>
          </cell>
          <cell r="GF124" t="str">
            <v>nd</v>
          </cell>
          <cell r="GG124" t="str">
            <v>nd</v>
          </cell>
          <cell r="GH124" t="str">
            <v>nd</v>
          </cell>
          <cell r="GI124" t="str">
            <v>nd</v>
          </cell>
          <cell r="GJ124" t="str">
            <v>nd</v>
          </cell>
          <cell r="GK124">
            <v>7.3934682</v>
          </cell>
          <cell r="GL124" t="str">
            <v>nd</v>
          </cell>
          <cell r="GM124" t="str">
            <v>nd</v>
          </cell>
          <cell r="GN124">
            <v>0</v>
          </cell>
          <cell r="GO124">
            <v>0.85868999999999995</v>
          </cell>
          <cell r="GP124">
            <v>12.7329627</v>
          </cell>
          <cell r="GQ124">
            <v>21.246278800000002</v>
          </cell>
          <cell r="GR124">
            <v>0</v>
          </cell>
          <cell r="GS124">
            <v>0</v>
          </cell>
          <cell r="GT124">
            <v>0</v>
          </cell>
          <cell r="GU124">
            <v>1.0712999999999999</v>
          </cell>
          <cell r="GV124">
            <v>11.015528199999999</v>
          </cell>
          <cell r="GW124">
            <v>28.935913000000003</v>
          </cell>
          <cell r="GX124">
            <v>0</v>
          </cell>
          <cell r="GY124">
            <v>0</v>
          </cell>
          <cell r="GZ124">
            <v>0</v>
          </cell>
          <cell r="HA124" t="str">
            <v>nd</v>
          </cell>
          <cell r="HB124">
            <v>7.2929688000000006</v>
          </cell>
          <cell r="HC124">
            <v>4.8349900000000003</v>
          </cell>
          <cell r="HD124">
            <v>0</v>
          </cell>
          <cell r="HE124" t="str">
            <v>nd</v>
          </cell>
          <cell r="HF124">
            <v>0</v>
          </cell>
          <cell r="HG124">
            <v>0</v>
          </cell>
          <cell r="HH124">
            <v>0</v>
          </cell>
          <cell r="HI124">
            <v>0</v>
          </cell>
          <cell r="HJ124">
            <v>0</v>
          </cell>
          <cell r="HK124">
            <v>0</v>
          </cell>
          <cell r="HL124">
            <v>2.4287700000000001</v>
          </cell>
          <cell r="HM124">
            <v>7.1241846999999998</v>
          </cell>
          <cell r="HN124" t="str">
            <v>nd</v>
          </cell>
          <cell r="HO124">
            <v>0</v>
          </cell>
          <cell r="HP124">
            <v>0</v>
          </cell>
          <cell r="HQ124" t="str">
            <v>nd</v>
          </cell>
          <cell r="HR124">
            <v>5.2437800000000001</v>
          </cell>
          <cell r="HS124">
            <v>26.330454599999996</v>
          </cell>
          <cell r="HT124">
            <v>2.9460199999999999</v>
          </cell>
          <cell r="HU124" t="str">
            <v>nd</v>
          </cell>
          <cell r="HV124">
            <v>0</v>
          </cell>
          <cell r="HW124">
            <v>0</v>
          </cell>
          <cell r="HX124">
            <v>1.62921</v>
          </cell>
          <cell r="HY124">
            <v>34.167089900000001</v>
          </cell>
          <cell r="HZ124">
            <v>5.6529400000000001</v>
          </cell>
          <cell r="IA124">
            <v>0</v>
          </cell>
          <cell r="IB124">
            <v>0</v>
          </cell>
          <cell r="IC124">
            <v>0</v>
          </cell>
          <cell r="ID124" t="str">
            <v>nd</v>
          </cell>
          <cell r="IE124">
            <v>8.5865589</v>
          </cell>
          <cell r="IF124">
            <v>2.1139200000000002</v>
          </cell>
          <cell r="IG124">
            <v>0</v>
          </cell>
          <cell r="IH124" t="str">
            <v>nd</v>
          </cell>
          <cell r="II124">
            <v>0</v>
          </cell>
          <cell r="IJ124">
            <v>0</v>
          </cell>
          <cell r="IK124">
            <v>0</v>
          </cell>
          <cell r="IL124">
            <v>0</v>
          </cell>
          <cell r="IM124">
            <v>0</v>
          </cell>
          <cell r="IN124" t="str">
            <v>nd</v>
          </cell>
          <cell r="IO124" t="str">
            <v>nd</v>
          </cell>
          <cell r="IP124">
            <v>5.2194599999999998</v>
          </cell>
          <cell r="IQ124">
            <v>3.38727</v>
          </cell>
          <cell r="IR124">
            <v>0</v>
          </cell>
          <cell r="IS124">
            <v>0</v>
          </cell>
          <cell r="IT124">
            <v>0</v>
          </cell>
          <cell r="IU124">
            <v>6.3615753000000002</v>
          </cell>
          <cell r="IV124">
            <v>26.782192599999998</v>
          </cell>
          <cell r="IW124">
            <v>3.6494400000000002</v>
          </cell>
          <cell r="IX124">
            <v>0</v>
          </cell>
          <cell r="IY124">
            <v>0</v>
          </cell>
          <cell r="IZ124" t="str">
            <v>nd</v>
          </cell>
          <cell r="JA124">
            <v>2.6045100000000003</v>
          </cell>
          <cell r="JB124">
            <v>30.895156099999998</v>
          </cell>
          <cell r="JC124">
            <v>4.9927799999999998</v>
          </cell>
          <cell r="JD124">
            <v>0</v>
          </cell>
          <cell r="JE124">
            <v>0</v>
          </cell>
          <cell r="JF124">
            <v>0</v>
          </cell>
          <cell r="JG124">
            <v>1.28007</v>
          </cell>
          <cell r="JH124">
            <v>7.9704711000000001</v>
          </cell>
          <cell r="JI124">
            <v>3.4226300000000003</v>
          </cell>
          <cell r="JJ124">
            <v>0</v>
          </cell>
          <cell r="JK124">
            <v>0</v>
          </cell>
          <cell r="JL124">
            <v>0</v>
          </cell>
          <cell r="JM124">
            <v>0</v>
          </cell>
          <cell r="JN124" t="str">
            <v>nd</v>
          </cell>
          <cell r="JO124">
            <v>0</v>
          </cell>
          <cell r="JP124">
            <v>0</v>
          </cell>
          <cell r="JQ124">
            <v>0</v>
          </cell>
          <cell r="JR124">
            <v>0</v>
          </cell>
          <cell r="JS124">
            <v>0</v>
          </cell>
          <cell r="JT124">
            <v>10.873053000000001</v>
          </cell>
          <cell r="JU124">
            <v>0</v>
          </cell>
          <cell r="JV124">
            <v>0</v>
          </cell>
          <cell r="JW124">
            <v>0</v>
          </cell>
          <cell r="JX124" t="str">
            <v>nd</v>
          </cell>
          <cell r="JY124">
            <v>0</v>
          </cell>
          <cell r="JZ124">
            <v>35.0258787</v>
          </cell>
          <cell r="KA124">
            <v>0</v>
          </cell>
          <cell r="KB124">
            <v>0</v>
          </cell>
          <cell r="KC124">
            <v>0</v>
          </cell>
          <cell r="KD124">
            <v>0</v>
          </cell>
          <cell r="KE124" t="str">
            <v>nd</v>
          </cell>
          <cell r="KF124">
            <v>38.773292099999999</v>
          </cell>
          <cell r="KG124">
            <v>0</v>
          </cell>
          <cell r="KH124">
            <v>0</v>
          </cell>
          <cell r="KI124">
            <v>0</v>
          </cell>
          <cell r="KJ124">
            <v>0</v>
          </cell>
          <cell r="KK124" t="str">
            <v>nd</v>
          </cell>
          <cell r="KL124">
            <v>12.634279500000002</v>
          </cell>
          <cell r="KM124">
            <v>65.5</v>
          </cell>
          <cell r="KN124">
            <v>18.899999999999999</v>
          </cell>
          <cell r="KO124">
            <v>3.5999999999999996</v>
          </cell>
          <cell r="KP124">
            <v>5.8000000000000007</v>
          </cell>
          <cell r="KQ124">
            <v>6</v>
          </cell>
          <cell r="KR124">
            <v>0.1</v>
          </cell>
          <cell r="KS124">
            <v>63.4</v>
          </cell>
          <cell r="KT124">
            <v>19.8</v>
          </cell>
          <cell r="KU124">
            <v>3.6999999999999997</v>
          </cell>
          <cell r="KV124">
            <v>6.5</v>
          </cell>
          <cell r="KW124">
            <v>6.5</v>
          </cell>
          <cell r="KX124">
            <v>0.1</v>
          </cell>
          <cell r="KY124"/>
          <cell r="KZ124"/>
          <cell r="LA124"/>
          <cell r="LB124"/>
          <cell r="LC124"/>
          <cell r="LD124"/>
          <cell r="LE124"/>
          <cell r="LF124"/>
          <cell r="LG124"/>
          <cell r="LH124"/>
          <cell r="LI124"/>
          <cell r="LJ124"/>
          <cell r="LK124"/>
          <cell r="LL124"/>
          <cell r="LM124"/>
          <cell r="LN124"/>
          <cell r="LO124"/>
        </row>
        <row r="125">
          <cell r="A125" t="str">
            <v>EnsCF</v>
          </cell>
          <cell r="B125" t="str">
            <v>125</v>
          </cell>
          <cell r="C125" t="str">
            <v>NAF 38</v>
          </cell>
          <cell r="D125" t="str">
            <v>CF</v>
          </cell>
          <cell r="E125" t="str">
            <v/>
          </cell>
          <cell r="F125">
            <v>0</v>
          </cell>
          <cell r="G125">
            <v>0</v>
          </cell>
          <cell r="H125">
            <v>18</v>
          </cell>
          <cell r="I125">
            <v>77.600000000000009</v>
          </cell>
          <cell r="J125">
            <v>4.3999999999999995</v>
          </cell>
          <cell r="K125">
            <v>51.9</v>
          </cell>
          <cell r="L125">
            <v>0</v>
          </cell>
          <cell r="M125" t="str">
            <v>nd</v>
          </cell>
          <cell r="N125">
            <v>27.6</v>
          </cell>
          <cell r="O125">
            <v>11.799999999999999</v>
          </cell>
          <cell r="P125">
            <v>52</v>
          </cell>
          <cell r="Q125">
            <v>19</v>
          </cell>
          <cell r="R125">
            <v>10.9</v>
          </cell>
          <cell r="S125">
            <v>12.8</v>
          </cell>
          <cell r="T125">
            <v>11.899999999999999</v>
          </cell>
          <cell r="U125" t="str">
            <v>nd</v>
          </cell>
          <cell r="V125">
            <v>19.8</v>
          </cell>
          <cell r="W125">
            <v>2.6</v>
          </cell>
          <cell r="X125">
            <v>85.8</v>
          </cell>
          <cell r="Y125">
            <v>11.700000000000001</v>
          </cell>
          <cell r="Z125">
            <v>0</v>
          </cell>
          <cell r="AA125">
            <v>100</v>
          </cell>
          <cell r="AB125">
            <v>0</v>
          </cell>
          <cell r="AC125">
            <v>100</v>
          </cell>
          <cell r="AD125">
            <v>0</v>
          </cell>
          <cell r="AE125">
            <v>28.7</v>
          </cell>
          <cell r="AF125">
            <v>71.3</v>
          </cell>
          <cell r="AG125">
            <v>98.3</v>
          </cell>
          <cell r="AH125" t="str">
            <v>nd</v>
          </cell>
          <cell r="AI125">
            <v>11.200000000000001</v>
          </cell>
          <cell r="AJ125">
            <v>0</v>
          </cell>
          <cell r="AK125" t="str">
            <v>nd</v>
          </cell>
          <cell r="AL125">
            <v>78.2</v>
          </cell>
          <cell r="AM125">
            <v>8.1</v>
          </cell>
          <cell r="AN125">
            <v>0</v>
          </cell>
          <cell r="AO125">
            <v>0</v>
          </cell>
          <cell r="AP125">
            <v>0</v>
          </cell>
          <cell r="AQ125">
            <v>85.7</v>
          </cell>
          <cell r="AR125">
            <v>14.299999999999999</v>
          </cell>
          <cell r="AS125">
            <v>32.6</v>
          </cell>
          <cell r="AT125">
            <v>48</v>
          </cell>
          <cell r="AU125">
            <v>10</v>
          </cell>
          <cell r="AV125">
            <v>6.5</v>
          </cell>
          <cell r="AW125" t="str">
            <v>nd</v>
          </cell>
          <cell r="AX125">
            <v>2</v>
          </cell>
          <cell r="AY125">
            <v>4.5</v>
          </cell>
          <cell r="AZ125">
            <v>7.0000000000000009</v>
          </cell>
          <cell r="BA125">
            <v>20.200000000000003</v>
          </cell>
          <cell r="BB125">
            <v>39.300000000000004</v>
          </cell>
          <cell r="BC125">
            <v>24.099999999999998</v>
          </cell>
          <cell r="BD125">
            <v>4.9000000000000004</v>
          </cell>
          <cell r="BE125">
            <v>0</v>
          </cell>
          <cell r="BF125" t="str">
            <v>nd</v>
          </cell>
          <cell r="BG125">
            <v>0</v>
          </cell>
          <cell r="BH125">
            <v>0</v>
          </cell>
          <cell r="BI125">
            <v>26.6</v>
          </cell>
          <cell r="BJ125">
            <v>73.3</v>
          </cell>
          <cell r="BK125">
            <v>0</v>
          </cell>
          <cell r="BL125">
            <v>0</v>
          </cell>
          <cell r="BM125">
            <v>0</v>
          </cell>
          <cell r="BN125">
            <v>2.4</v>
          </cell>
          <cell r="BO125">
            <v>94.8</v>
          </cell>
          <cell r="BP125">
            <v>2.8000000000000003</v>
          </cell>
          <cell r="BQ125">
            <v>0</v>
          </cell>
          <cell r="BR125">
            <v>0</v>
          </cell>
          <cell r="BS125">
            <v>0</v>
          </cell>
          <cell r="BT125">
            <v>9.9</v>
          </cell>
          <cell r="BU125">
            <v>83.8</v>
          </cell>
          <cell r="BV125">
            <v>6.2</v>
          </cell>
          <cell r="BW125">
            <v>0</v>
          </cell>
          <cell r="BX125">
            <v>0</v>
          </cell>
          <cell r="BY125">
            <v>0</v>
          </cell>
          <cell r="BZ125">
            <v>0</v>
          </cell>
          <cell r="CA125">
            <v>0</v>
          </cell>
          <cell r="CB125">
            <v>100</v>
          </cell>
          <cell r="CC125">
            <v>30.3</v>
          </cell>
          <cell r="CD125">
            <v>7.3999999999999995</v>
          </cell>
          <cell r="CE125">
            <v>0</v>
          </cell>
          <cell r="CF125" t="str">
            <v>nd</v>
          </cell>
          <cell r="CG125" t="str">
            <v>nd</v>
          </cell>
          <cell r="CH125">
            <v>3.5999999999999996</v>
          </cell>
          <cell r="CI125">
            <v>4.1000000000000005</v>
          </cell>
          <cell r="CJ125">
            <v>64.8</v>
          </cell>
          <cell r="CK125">
            <v>44</v>
          </cell>
          <cell r="CL125">
            <v>9.5</v>
          </cell>
          <cell r="CM125" t="str">
            <v>nd</v>
          </cell>
          <cell r="CN125" t="str">
            <v>nd</v>
          </cell>
          <cell r="CO125">
            <v>51.5</v>
          </cell>
          <cell r="CP125">
            <v>24.9</v>
          </cell>
          <cell r="CQ125">
            <v>19.600000000000001</v>
          </cell>
          <cell r="CR125" t="str">
            <v>nd</v>
          </cell>
          <cell r="CS125">
            <v>52.6</v>
          </cell>
          <cell r="CT125">
            <v>7.3999999999999995</v>
          </cell>
          <cell r="CU125">
            <v>92.600000000000009</v>
          </cell>
          <cell r="CV125">
            <v>7.6</v>
          </cell>
          <cell r="CW125">
            <v>92.4</v>
          </cell>
          <cell r="CX125">
            <v>12.4</v>
          </cell>
          <cell r="CY125">
            <v>34.1</v>
          </cell>
          <cell r="CZ125">
            <v>53.5</v>
          </cell>
          <cell r="DA125">
            <v>55.500000000000007</v>
          </cell>
          <cell r="DB125" t="str">
            <v>nd</v>
          </cell>
          <cell r="DC125">
            <v>27.700000000000003</v>
          </cell>
          <cell r="DD125">
            <v>0</v>
          </cell>
          <cell r="DE125">
            <v>47.099999999999994</v>
          </cell>
          <cell r="DF125">
            <v>47.599999999999994</v>
          </cell>
          <cell r="DG125" t="str">
            <v>nd</v>
          </cell>
          <cell r="DH125">
            <v>12.4</v>
          </cell>
          <cell r="DI125">
            <v>7.1</v>
          </cell>
          <cell r="DJ125">
            <v>4.5</v>
          </cell>
          <cell r="DK125">
            <v>27.3</v>
          </cell>
          <cell r="DL125">
            <v>18.899999999999999</v>
          </cell>
          <cell r="DM125">
            <v>8.6999999999999993</v>
          </cell>
          <cell r="DN125">
            <v>10.100000000000001</v>
          </cell>
          <cell r="DO125">
            <v>45.5</v>
          </cell>
          <cell r="DP125">
            <v>8.6999999999999993</v>
          </cell>
          <cell r="DQ125">
            <v>3.9</v>
          </cell>
          <cell r="DR125">
            <v>11.700000000000001</v>
          </cell>
          <cell r="DS125">
            <v>22.6</v>
          </cell>
          <cell r="DT125">
            <v>14.7</v>
          </cell>
          <cell r="DU125">
            <v>0</v>
          </cell>
          <cell r="DV125">
            <v>0</v>
          </cell>
          <cell r="DW125">
            <v>0</v>
          </cell>
          <cell r="DX125">
            <v>0</v>
          </cell>
          <cell r="DY125">
            <v>0</v>
          </cell>
          <cell r="DZ125">
            <v>0</v>
          </cell>
          <cell r="EA125">
            <v>0</v>
          </cell>
          <cell r="EB125">
            <v>0</v>
          </cell>
          <cell r="EC125">
            <v>0</v>
          </cell>
          <cell r="ED125">
            <v>0</v>
          </cell>
          <cell r="EE125">
            <v>0</v>
          </cell>
          <cell r="EF125">
            <v>5.1785699999999997</v>
          </cell>
          <cell r="EG125">
            <v>7.7653221999999991</v>
          </cell>
          <cell r="EH125" t="str">
            <v>nd</v>
          </cell>
          <cell r="EI125" t="str">
            <v>nd</v>
          </cell>
          <cell r="EJ125">
            <v>0</v>
          </cell>
          <cell r="EK125" t="str">
            <v>nd</v>
          </cell>
          <cell r="EL125">
            <v>26.517204400000001</v>
          </cell>
          <cell r="EM125">
            <v>38.616847199999995</v>
          </cell>
          <cell r="EN125">
            <v>6.9479369999999996</v>
          </cell>
          <cell r="EO125">
            <v>5.2894700000000006</v>
          </cell>
          <cell r="EP125">
            <v>0</v>
          </cell>
          <cell r="EQ125" t="str">
            <v>nd</v>
          </cell>
          <cell r="ER125" t="str">
            <v>nd</v>
          </cell>
          <cell r="ES125" t="str">
            <v>nd</v>
          </cell>
          <cell r="ET125">
            <v>0</v>
          </cell>
          <cell r="EU125">
            <v>0</v>
          </cell>
          <cell r="EV125" t="str">
            <v>nd</v>
          </cell>
          <cell r="EW125" t="str">
            <v>nd</v>
          </cell>
          <cell r="EX125">
            <v>0</v>
          </cell>
          <cell r="EY125">
            <v>0</v>
          </cell>
          <cell r="EZ125">
            <v>0</v>
          </cell>
          <cell r="FA125">
            <v>0</v>
          </cell>
          <cell r="FB125">
            <v>0</v>
          </cell>
          <cell r="FC125">
            <v>0</v>
          </cell>
          <cell r="FD125">
            <v>0</v>
          </cell>
          <cell r="FE125">
            <v>0</v>
          </cell>
          <cell r="FF125">
            <v>0</v>
          </cell>
          <cell r="FG125">
            <v>0</v>
          </cell>
          <cell r="FH125">
            <v>0</v>
          </cell>
          <cell r="FI125" t="str">
            <v>nd</v>
          </cell>
          <cell r="FJ125" t="str">
            <v>nd</v>
          </cell>
          <cell r="FK125" t="str">
            <v>nd</v>
          </cell>
          <cell r="FL125">
            <v>4.9093400000000003</v>
          </cell>
          <cell r="FM125">
            <v>3.7999900000000002</v>
          </cell>
          <cell r="FN125">
            <v>1.7299200000000001</v>
          </cell>
          <cell r="FO125" t="str">
            <v>nd</v>
          </cell>
          <cell r="FP125">
            <v>4.1705699999999997</v>
          </cell>
          <cell r="FQ125">
            <v>17.090491799999999</v>
          </cell>
          <cell r="FR125">
            <v>32.402797700000001</v>
          </cell>
          <cell r="FS125">
            <v>19.173889899999999</v>
          </cell>
          <cell r="FT125" t="str">
            <v>nd</v>
          </cell>
          <cell r="FU125">
            <v>0</v>
          </cell>
          <cell r="FV125">
            <v>0</v>
          </cell>
          <cell r="FW125">
            <v>0</v>
          </cell>
          <cell r="FX125" t="str">
            <v>nd</v>
          </cell>
          <cell r="FY125" t="str">
            <v>nd</v>
          </cell>
          <cell r="FZ125" t="str">
            <v>nd</v>
          </cell>
          <cell r="GA125">
            <v>0</v>
          </cell>
          <cell r="GB125">
            <v>0</v>
          </cell>
          <cell r="GC125">
            <v>0</v>
          </cell>
          <cell r="GD125">
            <v>0</v>
          </cell>
          <cell r="GE125">
            <v>0</v>
          </cell>
          <cell r="GF125">
            <v>0</v>
          </cell>
          <cell r="GG125">
            <v>0</v>
          </cell>
          <cell r="GH125">
            <v>0</v>
          </cell>
          <cell r="GI125">
            <v>0</v>
          </cell>
          <cell r="GJ125">
            <v>0</v>
          </cell>
          <cell r="GK125">
            <v>0</v>
          </cell>
          <cell r="GL125">
            <v>0</v>
          </cell>
          <cell r="GM125" t="str">
            <v>nd</v>
          </cell>
          <cell r="GN125">
            <v>0</v>
          </cell>
          <cell r="GO125">
            <v>0</v>
          </cell>
          <cell r="GP125">
            <v>8.6885659999999998</v>
          </cell>
          <cell r="GQ125">
            <v>9.6482861</v>
          </cell>
          <cell r="GR125">
            <v>0</v>
          </cell>
          <cell r="GS125">
            <v>0</v>
          </cell>
          <cell r="GT125">
            <v>0</v>
          </cell>
          <cell r="GU125">
            <v>0</v>
          </cell>
          <cell r="GV125">
            <v>16.535664699999998</v>
          </cell>
          <cell r="GW125">
            <v>61.540784000000002</v>
          </cell>
          <cell r="GX125">
            <v>0</v>
          </cell>
          <cell r="GY125">
            <v>0</v>
          </cell>
          <cell r="GZ125">
            <v>0</v>
          </cell>
          <cell r="HA125">
            <v>0</v>
          </cell>
          <cell r="HB125" t="str">
            <v>nd</v>
          </cell>
          <cell r="HC125" t="str">
            <v>nd</v>
          </cell>
          <cell r="HD125">
            <v>0</v>
          </cell>
          <cell r="HE125">
            <v>0</v>
          </cell>
          <cell r="HF125">
            <v>0</v>
          </cell>
          <cell r="HG125">
            <v>0</v>
          </cell>
          <cell r="HH125">
            <v>0</v>
          </cell>
          <cell r="HI125">
            <v>0</v>
          </cell>
          <cell r="HJ125">
            <v>0</v>
          </cell>
          <cell r="HK125">
            <v>0</v>
          </cell>
          <cell r="HL125">
            <v>0</v>
          </cell>
          <cell r="HM125">
            <v>0</v>
          </cell>
          <cell r="HN125">
            <v>0</v>
          </cell>
          <cell r="HO125">
            <v>0</v>
          </cell>
          <cell r="HP125">
            <v>0</v>
          </cell>
          <cell r="HQ125">
            <v>0</v>
          </cell>
          <cell r="HR125">
            <v>0</v>
          </cell>
          <cell r="HS125">
            <v>17.927709199999999</v>
          </cell>
          <cell r="HT125" t="str">
            <v>nd</v>
          </cell>
          <cell r="HU125">
            <v>0</v>
          </cell>
          <cell r="HV125">
            <v>0</v>
          </cell>
          <cell r="HW125">
            <v>0</v>
          </cell>
          <cell r="HX125">
            <v>2.3675899999999999</v>
          </cell>
          <cell r="HY125">
            <v>73.324297200000004</v>
          </cell>
          <cell r="HZ125" t="str">
            <v>nd</v>
          </cell>
          <cell r="IA125">
            <v>0</v>
          </cell>
          <cell r="IB125">
            <v>0</v>
          </cell>
          <cell r="IC125">
            <v>0</v>
          </cell>
          <cell r="ID125">
            <v>0</v>
          </cell>
          <cell r="IE125">
            <v>3.5643199999999999</v>
          </cell>
          <cell r="IF125" t="str">
            <v>nd</v>
          </cell>
          <cell r="IG125">
            <v>0</v>
          </cell>
          <cell r="IH125">
            <v>0</v>
          </cell>
          <cell r="II125">
            <v>0</v>
          </cell>
          <cell r="IJ125">
            <v>0</v>
          </cell>
          <cell r="IK125">
            <v>0</v>
          </cell>
          <cell r="IL125">
            <v>0</v>
          </cell>
          <cell r="IM125">
            <v>0</v>
          </cell>
          <cell r="IN125">
            <v>0</v>
          </cell>
          <cell r="IO125">
            <v>0</v>
          </cell>
          <cell r="IP125">
            <v>0</v>
          </cell>
          <cell r="IQ125">
            <v>0</v>
          </cell>
          <cell r="IR125">
            <v>0</v>
          </cell>
          <cell r="IS125">
            <v>0</v>
          </cell>
          <cell r="IT125">
            <v>0</v>
          </cell>
          <cell r="IU125" t="str">
            <v>nd</v>
          </cell>
          <cell r="IV125">
            <v>13.271365600000001</v>
          </cell>
          <cell r="IW125">
            <v>1.1036600000000001</v>
          </cell>
          <cell r="IX125">
            <v>0</v>
          </cell>
          <cell r="IY125">
            <v>0</v>
          </cell>
          <cell r="IZ125">
            <v>0</v>
          </cell>
          <cell r="JA125">
            <v>6.1425000000000001</v>
          </cell>
          <cell r="JB125">
            <v>66.039900200000005</v>
          </cell>
          <cell r="JC125">
            <v>5.1247099999999994</v>
          </cell>
          <cell r="JD125">
            <v>0</v>
          </cell>
          <cell r="JE125">
            <v>0</v>
          </cell>
          <cell r="JF125">
            <v>0</v>
          </cell>
          <cell r="JG125">
            <v>0</v>
          </cell>
          <cell r="JH125">
            <v>4.5243400000000005</v>
          </cell>
          <cell r="JI125">
            <v>0</v>
          </cell>
          <cell r="JJ125">
            <v>0</v>
          </cell>
          <cell r="JK125">
            <v>0</v>
          </cell>
          <cell r="JL125">
            <v>0</v>
          </cell>
          <cell r="JM125">
            <v>0</v>
          </cell>
          <cell r="JN125">
            <v>0</v>
          </cell>
          <cell r="JO125">
            <v>0</v>
          </cell>
          <cell r="JP125">
            <v>0</v>
          </cell>
          <cell r="JQ125">
            <v>0</v>
          </cell>
          <cell r="JR125">
            <v>0</v>
          </cell>
          <cell r="JS125">
            <v>0</v>
          </cell>
          <cell r="JT125">
            <v>0</v>
          </cell>
          <cell r="JU125">
            <v>0</v>
          </cell>
          <cell r="JV125">
            <v>0</v>
          </cell>
          <cell r="JW125">
            <v>0</v>
          </cell>
          <cell r="JX125">
            <v>0</v>
          </cell>
          <cell r="JY125">
            <v>0</v>
          </cell>
          <cell r="JZ125">
            <v>18.3126909</v>
          </cell>
          <cell r="KA125">
            <v>0</v>
          </cell>
          <cell r="KB125">
            <v>0</v>
          </cell>
          <cell r="KC125">
            <v>0</v>
          </cell>
          <cell r="KD125">
            <v>0</v>
          </cell>
          <cell r="KE125">
            <v>0</v>
          </cell>
          <cell r="KF125">
            <v>77.757100100000002</v>
          </cell>
          <cell r="KG125">
            <v>0</v>
          </cell>
          <cell r="KH125">
            <v>0</v>
          </cell>
          <cell r="KI125">
            <v>0</v>
          </cell>
          <cell r="KJ125">
            <v>0</v>
          </cell>
          <cell r="KK125">
            <v>0</v>
          </cell>
          <cell r="KL125">
            <v>3.9302099999999998</v>
          </cell>
          <cell r="KM125">
            <v>62.5</v>
          </cell>
          <cell r="KN125">
            <v>24.7</v>
          </cell>
          <cell r="KO125">
            <v>1.4000000000000001</v>
          </cell>
          <cell r="KP125">
            <v>5.4</v>
          </cell>
          <cell r="KQ125">
            <v>6</v>
          </cell>
          <cell r="KR125">
            <v>0</v>
          </cell>
          <cell r="KS125">
            <v>60.3</v>
          </cell>
          <cell r="KT125">
            <v>26.200000000000003</v>
          </cell>
          <cell r="KU125">
            <v>1.4000000000000001</v>
          </cell>
          <cell r="KV125">
            <v>5.5</v>
          </cell>
          <cell r="KW125">
            <v>6.6000000000000005</v>
          </cell>
          <cell r="KX125">
            <v>0</v>
          </cell>
          <cell r="KY125"/>
          <cell r="KZ125"/>
          <cell r="LA125"/>
          <cell r="LB125"/>
          <cell r="LC125"/>
          <cell r="LD125"/>
          <cell r="LE125"/>
          <cell r="LF125"/>
          <cell r="LG125"/>
          <cell r="LH125"/>
          <cell r="LI125"/>
          <cell r="LJ125"/>
          <cell r="LK125"/>
          <cell r="LL125"/>
          <cell r="LM125"/>
          <cell r="LN125"/>
          <cell r="LO125"/>
        </row>
        <row r="126">
          <cell r="A126" t="str">
            <v>EnsCG</v>
          </cell>
          <cell r="B126" t="str">
            <v>126</v>
          </cell>
          <cell r="C126" t="str">
            <v>NAF 38</v>
          </cell>
          <cell r="D126" t="str">
            <v>CG</v>
          </cell>
          <cell r="E126" t="str">
            <v/>
          </cell>
          <cell r="F126">
            <v>0</v>
          </cell>
          <cell r="G126">
            <v>9.6</v>
          </cell>
          <cell r="H126">
            <v>48.1</v>
          </cell>
          <cell r="I126">
            <v>24.9</v>
          </cell>
          <cell r="J126">
            <v>17.399999999999999</v>
          </cell>
          <cell r="K126">
            <v>87.1</v>
          </cell>
          <cell r="L126" t="str">
            <v>nd</v>
          </cell>
          <cell r="M126">
            <v>8.2000000000000011</v>
          </cell>
          <cell r="N126">
            <v>4</v>
          </cell>
          <cell r="O126">
            <v>26.3</v>
          </cell>
          <cell r="P126">
            <v>16.400000000000002</v>
          </cell>
          <cell r="Q126">
            <v>17</v>
          </cell>
          <cell r="R126">
            <v>11.600000000000001</v>
          </cell>
          <cell r="S126">
            <v>19.3</v>
          </cell>
          <cell r="T126">
            <v>53.5</v>
          </cell>
          <cell r="U126">
            <v>0.8</v>
          </cell>
          <cell r="V126">
            <v>13.600000000000001</v>
          </cell>
          <cell r="W126">
            <v>23.3</v>
          </cell>
          <cell r="X126">
            <v>72.5</v>
          </cell>
          <cell r="Y126">
            <v>4.3</v>
          </cell>
          <cell r="Z126">
            <v>5.8000000000000007</v>
          </cell>
          <cell r="AA126">
            <v>73</v>
          </cell>
          <cell r="AB126">
            <v>11.899999999999999</v>
          </cell>
          <cell r="AC126">
            <v>32.700000000000003</v>
          </cell>
          <cell r="AD126">
            <v>11.1</v>
          </cell>
          <cell r="AE126">
            <v>66.8</v>
          </cell>
          <cell r="AF126">
            <v>33.200000000000003</v>
          </cell>
          <cell r="AG126">
            <v>82.399999999999991</v>
          </cell>
          <cell r="AH126">
            <v>17.599999999999998</v>
          </cell>
          <cell r="AI126">
            <v>69</v>
          </cell>
          <cell r="AJ126">
            <v>0</v>
          </cell>
          <cell r="AK126">
            <v>2.7</v>
          </cell>
          <cell r="AL126">
            <v>20.7</v>
          </cell>
          <cell r="AM126">
            <v>7.6</v>
          </cell>
          <cell r="AN126">
            <v>15</v>
          </cell>
          <cell r="AO126">
            <v>3.3000000000000003</v>
          </cell>
          <cell r="AP126">
            <v>3.3000000000000003</v>
          </cell>
          <cell r="AQ126">
            <v>52.800000000000004</v>
          </cell>
          <cell r="AR126">
            <v>25.6</v>
          </cell>
          <cell r="AS126">
            <v>69.3</v>
          </cell>
          <cell r="AT126">
            <v>19.8</v>
          </cell>
          <cell r="AU126">
            <v>4.1000000000000005</v>
          </cell>
          <cell r="AV126">
            <v>1.9</v>
          </cell>
          <cell r="AW126">
            <v>2.2999999999999998</v>
          </cell>
          <cell r="AX126">
            <v>2.7</v>
          </cell>
          <cell r="AY126">
            <v>1.0999999999999999</v>
          </cell>
          <cell r="AZ126">
            <v>1.5</v>
          </cell>
          <cell r="BA126">
            <v>3.8</v>
          </cell>
          <cell r="BB126">
            <v>25.6</v>
          </cell>
          <cell r="BC126">
            <v>41.699999999999996</v>
          </cell>
          <cell r="BD126">
            <v>26.3</v>
          </cell>
          <cell r="BE126" t="str">
            <v>nd</v>
          </cell>
          <cell r="BF126">
            <v>4.1000000000000005</v>
          </cell>
          <cell r="BG126">
            <v>2.1999999999999997</v>
          </cell>
          <cell r="BH126">
            <v>7.0000000000000009</v>
          </cell>
          <cell r="BI126">
            <v>47.599999999999994</v>
          </cell>
          <cell r="BJ126">
            <v>38.4</v>
          </cell>
          <cell r="BK126">
            <v>0</v>
          </cell>
          <cell r="BL126">
            <v>0</v>
          </cell>
          <cell r="BM126" t="str">
            <v>nd</v>
          </cell>
          <cell r="BN126">
            <v>9.7000000000000011</v>
          </cell>
          <cell r="BO126">
            <v>77.2</v>
          </cell>
          <cell r="BP126">
            <v>12.3</v>
          </cell>
          <cell r="BQ126" t="str">
            <v>nd</v>
          </cell>
          <cell r="BR126">
            <v>0</v>
          </cell>
          <cell r="BS126" t="str">
            <v>nd</v>
          </cell>
          <cell r="BT126">
            <v>11</v>
          </cell>
          <cell r="BU126">
            <v>54.300000000000004</v>
          </cell>
          <cell r="BV126">
            <v>33.700000000000003</v>
          </cell>
          <cell r="BW126">
            <v>0</v>
          </cell>
          <cell r="BX126">
            <v>0</v>
          </cell>
          <cell r="BY126">
            <v>0</v>
          </cell>
          <cell r="BZ126" t="str">
            <v>nd</v>
          </cell>
          <cell r="CA126">
            <v>3.9</v>
          </cell>
          <cell r="CB126">
            <v>96</v>
          </cell>
          <cell r="CC126">
            <v>16.100000000000001</v>
          </cell>
          <cell r="CD126">
            <v>19.900000000000002</v>
          </cell>
          <cell r="CE126" t="str">
            <v>nd</v>
          </cell>
          <cell r="CF126">
            <v>1.6</v>
          </cell>
          <cell r="CG126">
            <v>0.70000000000000007</v>
          </cell>
          <cell r="CH126">
            <v>27.400000000000002</v>
          </cell>
          <cell r="CI126">
            <v>3.8</v>
          </cell>
          <cell r="CJ126">
            <v>54.500000000000007</v>
          </cell>
          <cell r="CK126">
            <v>47.3</v>
          </cell>
          <cell r="CL126">
            <v>12.5</v>
          </cell>
          <cell r="CM126">
            <v>1.3</v>
          </cell>
          <cell r="CN126">
            <v>0.6</v>
          </cell>
          <cell r="CO126">
            <v>48.8</v>
          </cell>
          <cell r="CP126">
            <v>19.3</v>
          </cell>
          <cell r="CQ126">
            <v>46.300000000000004</v>
          </cell>
          <cell r="CR126">
            <v>5.8999999999999995</v>
          </cell>
          <cell r="CS126">
            <v>28.4</v>
          </cell>
          <cell r="CT126">
            <v>14.799999999999999</v>
          </cell>
          <cell r="CU126">
            <v>85.2</v>
          </cell>
          <cell r="CV126">
            <v>24.7</v>
          </cell>
          <cell r="CW126">
            <v>75.3</v>
          </cell>
          <cell r="CX126">
            <v>29.7</v>
          </cell>
          <cell r="CY126">
            <v>40.400000000000006</v>
          </cell>
          <cell r="CZ126">
            <v>29.9</v>
          </cell>
          <cell r="DA126">
            <v>17.899999999999999</v>
          </cell>
          <cell r="DB126">
            <v>10.8</v>
          </cell>
          <cell r="DC126">
            <v>14.000000000000002</v>
          </cell>
          <cell r="DD126" t="str">
            <v>nd</v>
          </cell>
          <cell r="DE126">
            <v>77.400000000000006</v>
          </cell>
          <cell r="DF126">
            <v>19.7</v>
          </cell>
          <cell r="DG126">
            <v>3.9</v>
          </cell>
          <cell r="DH126">
            <v>9.7000000000000011</v>
          </cell>
          <cell r="DI126">
            <v>21.8</v>
          </cell>
          <cell r="DJ126">
            <v>24.099999999999998</v>
          </cell>
          <cell r="DK126">
            <v>20.9</v>
          </cell>
          <cell r="DL126">
            <v>13.100000000000001</v>
          </cell>
          <cell r="DM126">
            <v>61</v>
          </cell>
          <cell r="DN126">
            <v>6.6000000000000005</v>
          </cell>
          <cell r="DO126">
            <v>22.900000000000002</v>
          </cell>
          <cell r="DP126">
            <v>3.2</v>
          </cell>
          <cell r="DQ126">
            <v>6.6000000000000005</v>
          </cell>
          <cell r="DR126">
            <v>14.7</v>
          </cell>
          <cell r="DS126">
            <v>12.9</v>
          </cell>
          <cell r="DT126">
            <v>12.9</v>
          </cell>
          <cell r="DU126">
            <v>0</v>
          </cell>
          <cell r="DV126">
            <v>0</v>
          </cell>
          <cell r="DW126">
            <v>0</v>
          </cell>
          <cell r="DX126">
            <v>0</v>
          </cell>
          <cell r="DY126">
            <v>0</v>
          </cell>
          <cell r="DZ126">
            <v>3.1766299999999998</v>
          </cell>
          <cell r="EA126">
            <v>1.80646</v>
          </cell>
          <cell r="EB126">
            <v>2.2044000000000001</v>
          </cell>
          <cell r="EC126" t="str">
            <v>nd</v>
          </cell>
          <cell r="ED126" t="str">
            <v>nd</v>
          </cell>
          <cell r="EE126">
            <v>0</v>
          </cell>
          <cell r="EF126">
            <v>29.8682102</v>
          </cell>
          <cell r="EG126">
            <v>14.456021999999999</v>
          </cell>
          <cell r="EH126">
            <v>1.58013</v>
          </cell>
          <cell r="EI126">
            <v>1.72401</v>
          </cell>
          <cell r="EJ126">
            <v>1.34805</v>
          </cell>
          <cell r="EK126" t="str">
            <v>nd</v>
          </cell>
          <cell r="EL126">
            <v>21.3819947</v>
          </cell>
          <cell r="EM126">
            <v>1.35229</v>
          </cell>
          <cell r="EN126">
            <v>0</v>
          </cell>
          <cell r="EO126">
            <v>0</v>
          </cell>
          <cell r="EP126">
            <v>0</v>
          </cell>
          <cell r="EQ126">
            <v>1.9347699999999999</v>
          </cell>
          <cell r="ER126">
            <v>14.8492231</v>
          </cell>
          <cell r="ES126">
            <v>2.1513399999999998</v>
          </cell>
          <cell r="ET126" t="str">
            <v>nd</v>
          </cell>
          <cell r="EU126">
            <v>0</v>
          </cell>
          <cell r="EV126">
            <v>0</v>
          </cell>
          <cell r="EW126" t="str">
            <v>nd</v>
          </cell>
          <cell r="EX126">
            <v>0</v>
          </cell>
          <cell r="EY126">
            <v>0</v>
          </cell>
          <cell r="EZ126">
            <v>0</v>
          </cell>
          <cell r="FA126">
            <v>0</v>
          </cell>
          <cell r="FB126">
            <v>0</v>
          </cell>
          <cell r="FC126">
            <v>0</v>
          </cell>
          <cell r="FD126">
            <v>0</v>
          </cell>
          <cell r="FE126">
            <v>1.8387400000000003</v>
          </cell>
          <cell r="FF126">
            <v>2.0603699999999998</v>
          </cell>
          <cell r="FG126">
            <v>2.6188800000000003</v>
          </cell>
          <cell r="FH126">
            <v>1.3328</v>
          </cell>
          <cell r="FI126" t="str">
            <v>nd</v>
          </cell>
          <cell r="FJ126">
            <v>1.48637</v>
          </cell>
          <cell r="FK126">
            <v>1.1710699999999998</v>
          </cell>
          <cell r="FL126">
            <v>18.2011778</v>
          </cell>
          <cell r="FM126">
            <v>20.9716126</v>
          </cell>
          <cell r="FN126">
            <v>5.7958299999999996</v>
          </cell>
          <cell r="FO126" t="str">
            <v>nd</v>
          </cell>
          <cell r="FP126">
            <v>0</v>
          </cell>
          <cell r="FQ126" t="str">
            <v>nd</v>
          </cell>
          <cell r="FR126">
            <v>3.3261600000000002</v>
          </cell>
          <cell r="FS126">
            <v>10.0489476</v>
          </cell>
          <cell r="FT126">
            <v>11.335050600000001</v>
          </cell>
          <cell r="FU126">
            <v>0</v>
          </cell>
          <cell r="FV126">
            <v>0</v>
          </cell>
          <cell r="FW126" t="str">
            <v>nd</v>
          </cell>
          <cell r="FX126">
            <v>2.0294699999999999</v>
          </cell>
          <cell r="FY126">
            <v>8.0905535000000004</v>
          </cell>
          <cell r="FZ126">
            <v>7.8444753000000009</v>
          </cell>
          <cell r="GA126">
            <v>0</v>
          </cell>
          <cell r="GB126">
            <v>0</v>
          </cell>
          <cell r="GC126">
            <v>0</v>
          </cell>
          <cell r="GD126">
            <v>0</v>
          </cell>
          <cell r="GE126">
            <v>0</v>
          </cell>
          <cell r="GF126">
            <v>0</v>
          </cell>
          <cell r="GG126" t="str">
            <v>nd</v>
          </cell>
          <cell r="GH126">
            <v>0.70122700000000004</v>
          </cell>
          <cell r="GI126">
            <v>0.9676300000000001</v>
          </cell>
          <cell r="GJ126">
            <v>5.367</v>
          </cell>
          <cell r="GK126">
            <v>0.93489999999999995</v>
          </cell>
          <cell r="GL126" t="str">
            <v>nd</v>
          </cell>
          <cell r="GM126">
            <v>2.6901899999999999</v>
          </cell>
          <cell r="GN126">
            <v>1.5142100000000001</v>
          </cell>
          <cell r="GO126">
            <v>5.0737900000000007</v>
          </cell>
          <cell r="GP126">
            <v>28.6441707</v>
          </cell>
          <cell r="GQ126">
            <v>10.5258433</v>
          </cell>
          <cell r="GR126">
            <v>0</v>
          </cell>
          <cell r="GS126">
            <v>0</v>
          </cell>
          <cell r="GT126">
            <v>0</v>
          </cell>
          <cell r="GU126" t="str">
            <v>nd</v>
          </cell>
          <cell r="GV126">
            <v>7.8563109000000004</v>
          </cell>
          <cell r="GW126">
            <v>16.646599500000001</v>
          </cell>
          <cell r="GX126">
            <v>0</v>
          </cell>
          <cell r="GY126" t="str">
            <v>nd</v>
          </cell>
          <cell r="GZ126">
            <v>0</v>
          </cell>
          <cell r="HA126" t="str">
            <v>nd</v>
          </cell>
          <cell r="HB126">
            <v>5.7802300000000004</v>
          </cell>
          <cell r="HC126">
            <v>10.2658688</v>
          </cell>
          <cell r="HD126">
            <v>0</v>
          </cell>
          <cell r="HE126">
            <v>0</v>
          </cell>
          <cell r="HF126">
            <v>0</v>
          </cell>
          <cell r="HG126">
            <v>0</v>
          </cell>
          <cell r="HH126">
            <v>0</v>
          </cell>
          <cell r="HI126">
            <v>0</v>
          </cell>
          <cell r="HJ126">
            <v>0</v>
          </cell>
          <cell r="HK126">
            <v>0</v>
          </cell>
          <cell r="HL126" t="str">
            <v>nd</v>
          </cell>
          <cell r="HM126">
            <v>5.8714500000000003</v>
          </cell>
          <cell r="HN126" t="str">
            <v>nd</v>
          </cell>
          <cell r="HO126">
            <v>0</v>
          </cell>
          <cell r="HP126">
            <v>0</v>
          </cell>
          <cell r="HQ126" t="str">
            <v>nd</v>
          </cell>
          <cell r="HR126">
            <v>4.0492900000000001</v>
          </cell>
          <cell r="HS126">
            <v>41.806582199999994</v>
          </cell>
          <cell r="HT126">
            <v>3.7970499999999996</v>
          </cell>
          <cell r="HU126">
            <v>0</v>
          </cell>
          <cell r="HV126">
            <v>0</v>
          </cell>
          <cell r="HW126">
            <v>0</v>
          </cell>
          <cell r="HX126">
            <v>2.0749200000000001</v>
          </cell>
          <cell r="HY126">
            <v>16.645536700000001</v>
          </cell>
          <cell r="HZ126">
            <v>4.7397599999999995</v>
          </cell>
          <cell r="IA126">
            <v>0</v>
          </cell>
          <cell r="IB126">
            <v>0</v>
          </cell>
          <cell r="IC126">
            <v>0</v>
          </cell>
          <cell r="ID126">
            <v>2.0905499999999999</v>
          </cell>
          <cell r="IE126">
            <v>12.889988199999999</v>
          </cell>
          <cell r="IF126">
            <v>2.6370200000000001</v>
          </cell>
          <cell r="IG126">
            <v>0</v>
          </cell>
          <cell r="IH126">
            <v>0</v>
          </cell>
          <cell r="II126">
            <v>0</v>
          </cell>
          <cell r="IJ126">
            <v>0</v>
          </cell>
          <cell r="IK126">
            <v>0</v>
          </cell>
          <cell r="IL126">
            <v>0</v>
          </cell>
          <cell r="IM126">
            <v>0</v>
          </cell>
          <cell r="IN126">
            <v>0</v>
          </cell>
          <cell r="IO126" t="str">
            <v>nd</v>
          </cell>
          <cell r="IP126">
            <v>3.79792</v>
          </cell>
          <cell r="IQ126">
            <v>2.2239399999999998</v>
          </cell>
          <cell r="IR126">
            <v>0</v>
          </cell>
          <cell r="IS126">
            <v>0</v>
          </cell>
          <cell r="IT126" t="str">
            <v>nd</v>
          </cell>
          <cell r="IU126">
            <v>5.6398700000000002</v>
          </cell>
          <cell r="IV126">
            <v>31.163076400000001</v>
          </cell>
          <cell r="IW126">
            <v>11.540847400000001</v>
          </cell>
          <cell r="IX126">
            <v>0</v>
          </cell>
          <cell r="IY126">
            <v>0</v>
          </cell>
          <cell r="IZ126">
            <v>0</v>
          </cell>
          <cell r="JA126">
            <v>1.58226</v>
          </cell>
          <cell r="JB126">
            <v>12.0602292</v>
          </cell>
          <cell r="JC126">
            <v>11.206899</v>
          </cell>
          <cell r="JD126" t="str">
            <v>nd</v>
          </cell>
          <cell r="JE126">
            <v>0</v>
          </cell>
          <cell r="JF126">
            <v>0</v>
          </cell>
          <cell r="JG126">
            <v>1.34737</v>
          </cell>
          <cell r="JH126">
            <v>7.3065274999999996</v>
          </cell>
          <cell r="JI126">
            <v>8.7703369999999996</v>
          </cell>
          <cell r="JJ126">
            <v>0</v>
          </cell>
          <cell r="JK126">
            <v>0</v>
          </cell>
          <cell r="JL126">
            <v>0</v>
          </cell>
          <cell r="JM126">
            <v>0</v>
          </cell>
          <cell r="JN126">
            <v>0</v>
          </cell>
          <cell r="JO126">
            <v>0</v>
          </cell>
          <cell r="JP126">
            <v>0</v>
          </cell>
          <cell r="JQ126">
            <v>0</v>
          </cell>
          <cell r="JR126">
            <v>0</v>
          </cell>
          <cell r="JS126" t="str">
            <v>nd</v>
          </cell>
          <cell r="JT126">
            <v>6.7423658</v>
          </cell>
          <cell r="JU126">
            <v>0</v>
          </cell>
          <cell r="JV126">
            <v>0</v>
          </cell>
          <cell r="JW126">
            <v>0</v>
          </cell>
          <cell r="JX126" t="str">
            <v>nd</v>
          </cell>
          <cell r="JY126">
            <v>1.73004</v>
          </cell>
          <cell r="JZ126">
            <v>46.9540121</v>
          </cell>
          <cell r="KA126">
            <v>0</v>
          </cell>
          <cell r="KB126">
            <v>0</v>
          </cell>
          <cell r="KC126">
            <v>0</v>
          </cell>
          <cell r="KD126">
            <v>0</v>
          </cell>
          <cell r="KE126" t="str">
            <v>nd</v>
          </cell>
          <cell r="KF126">
            <v>24.693001599999999</v>
          </cell>
          <cell r="KG126">
            <v>0</v>
          </cell>
          <cell r="KH126">
            <v>0</v>
          </cell>
          <cell r="KI126">
            <v>0</v>
          </cell>
          <cell r="KJ126">
            <v>0</v>
          </cell>
          <cell r="KK126">
            <v>0</v>
          </cell>
          <cell r="KL126">
            <v>17.576414500000002</v>
          </cell>
          <cell r="KM126">
            <v>72.399999999999991</v>
          </cell>
          <cell r="KN126">
            <v>10</v>
          </cell>
          <cell r="KO126">
            <v>6.5</v>
          </cell>
          <cell r="KP126">
            <v>6.1</v>
          </cell>
          <cell r="KQ126">
            <v>4.8</v>
          </cell>
          <cell r="KR126">
            <v>0.2</v>
          </cell>
          <cell r="KS126">
            <v>70.199999999999989</v>
          </cell>
          <cell r="KT126">
            <v>11.3</v>
          </cell>
          <cell r="KU126">
            <v>6.6000000000000005</v>
          </cell>
          <cell r="KV126">
            <v>6.6000000000000005</v>
          </cell>
          <cell r="KW126">
            <v>5.2</v>
          </cell>
          <cell r="KX126">
            <v>0.2</v>
          </cell>
          <cell r="KY126"/>
          <cell r="KZ126"/>
          <cell r="LA126"/>
          <cell r="LB126"/>
          <cell r="LC126"/>
          <cell r="LD126"/>
          <cell r="LE126"/>
          <cell r="LF126"/>
          <cell r="LG126"/>
          <cell r="LH126"/>
          <cell r="LI126"/>
          <cell r="LJ126"/>
          <cell r="LK126"/>
          <cell r="LL126"/>
          <cell r="LM126"/>
          <cell r="LN126"/>
          <cell r="LO126"/>
        </row>
        <row r="127">
          <cell r="A127" t="str">
            <v>EnsCH</v>
          </cell>
          <cell r="B127" t="str">
            <v>127</v>
          </cell>
          <cell r="C127" t="str">
            <v>NAF 38</v>
          </cell>
          <cell r="D127" t="str">
            <v>CH</v>
          </cell>
          <cell r="E127" t="str">
            <v/>
          </cell>
          <cell r="F127">
            <v>0</v>
          </cell>
          <cell r="G127">
            <v>14.799999999999999</v>
          </cell>
          <cell r="H127">
            <v>51.1</v>
          </cell>
          <cell r="I127">
            <v>25.900000000000002</v>
          </cell>
          <cell r="J127">
            <v>8.2000000000000011</v>
          </cell>
          <cell r="K127">
            <v>82.699999999999989</v>
          </cell>
          <cell r="L127">
            <v>3.3000000000000003</v>
          </cell>
          <cell r="M127">
            <v>10</v>
          </cell>
          <cell r="N127">
            <v>4.1000000000000005</v>
          </cell>
          <cell r="O127">
            <v>38</v>
          </cell>
          <cell r="P127">
            <v>18.899999999999999</v>
          </cell>
          <cell r="Q127">
            <v>17.7</v>
          </cell>
          <cell r="R127">
            <v>5.2</v>
          </cell>
          <cell r="S127">
            <v>10.7</v>
          </cell>
          <cell r="T127">
            <v>62.9</v>
          </cell>
          <cell r="U127" t="str">
            <v>nd</v>
          </cell>
          <cell r="V127">
            <v>12.8</v>
          </cell>
          <cell r="W127">
            <v>16.100000000000001</v>
          </cell>
          <cell r="X127">
            <v>80.400000000000006</v>
          </cell>
          <cell r="Y127">
            <v>3.5999999999999996</v>
          </cell>
          <cell r="Z127">
            <v>16.7</v>
          </cell>
          <cell r="AA127">
            <v>50.7</v>
          </cell>
          <cell r="AB127">
            <v>32</v>
          </cell>
          <cell r="AC127">
            <v>36</v>
          </cell>
          <cell r="AD127">
            <v>14.7</v>
          </cell>
          <cell r="AE127">
            <v>73.2</v>
          </cell>
          <cell r="AF127">
            <v>26.8</v>
          </cell>
          <cell r="AG127">
            <v>66.900000000000006</v>
          </cell>
          <cell r="AH127">
            <v>33.1</v>
          </cell>
          <cell r="AI127">
            <v>72.899999999999991</v>
          </cell>
          <cell r="AJ127">
            <v>1.7999999999999998</v>
          </cell>
          <cell r="AK127">
            <v>1.7999999999999998</v>
          </cell>
          <cell r="AL127">
            <v>19.600000000000001</v>
          </cell>
          <cell r="AM127">
            <v>4</v>
          </cell>
          <cell r="AN127">
            <v>18.3</v>
          </cell>
          <cell r="AO127">
            <v>6.8000000000000007</v>
          </cell>
          <cell r="AP127">
            <v>7.3</v>
          </cell>
          <cell r="AQ127">
            <v>65</v>
          </cell>
          <cell r="AR127">
            <v>2.6</v>
          </cell>
          <cell r="AS127">
            <v>59.3</v>
          </cell>
          <cell r="AT127">
            <v>16.8</v>
          </cell>
          <cell r="AU127">
            <v>13</v>
          </cell>
          <cell r="AV127">
            <v>5.2</v>
          </cell>
          <cell r="AW127">
            <v>2.5</v>
          </cell>
          <cell r="AX127">
            <v>3.2</v>
          </cell>
          <cell r="AY127" t="str">
            <v>nd</v>
          </cell>
          <cell r="AZ127" t="str">
            <v>nd</v>
          </cell>
          <cell r="BA127">
            <v>2.8000000000000003</v>
          </cell>
          <cell r="BB127">
            <v>11.3</v>
          </cell>
          <cell r="BC127">
            <v>49.3</v>
          </cell>
          <cell r="BD127">
            <v>35.6</v>
          </cell>
          <cell r="BE127">
            <v>1.5</v>
          </cell>
          <cell r="BF127">
            <v>3.5999999999999996</v>
          </cell>
          <cell r="BG127">
            <v>4.3</v>
          </cell>
          <cell r="BH127">
            <v>11.1</v>
          </cell>
          <cell r="BI127">
            <v>40.300000000000004</v>
          </cell>
          <cell r="BJ127">
            <v>39.300000000000004</v>
          </cell>
          <cell r="BK127" t="str">
            <v>nd</v>
          </cell>
          <cell r="BL127" t="str">
            <v>nd</v>
          </cell>
          <cell r="BM127" t="str">
            <v>nd</v>
          </cell>
          <cell r="BN127">
            <v>7.5</v>
          </cell>
          <cell r="BO127">
            <v>76.599999999999994</v>
          </cell>
          <cell r="BP127">
            <v>14.899999999999999</v>
          </cell>
          <cell r="BQ127">
            <v>0</v>
          </cell>
          <cell r="BR127" t="str">
            <v>nd</v>
          </cell>
          <cell r="BS127" t="str">
            <v>nd</v>
          </cell>
          <cell r="BT127">
            <v>11.3</v>
          </cell>
          <cell r="BU127">
            <v>58.9</v>
          </cell>
          <cell r="BV127">
            <v>28.7</v>
          </cell>
          <cell r="BW127">
            <v>0</v>
          </cell>
          <cell r="BX127">
            <v>0</v>
          </cell>
          <cell r="BY127">
            <v>0</v>
          </cell>
          <cell r="BZ127" t="str">
            <v>nd</v>
          </cell>
          <cell r="CA127" t="str">
            <v>nd</v>
          </cell>
          <cell r="CB127">
            <v>99.4</v>
          </cell>
          <cell r="CC127">
            <v>15.4</v>
          </cell>
          <cell r="CD127">
            <v>10.199999999999999</v>
          </cell>
          <cell r="CE127" t="str">
            <v>nd</v>
          </cell>
          <cell r="CF127">
            <v>0.8</v>
          </cell>
          <cell r="CG127" t="str">
            <v>nd</v>
          </cell>
          <cell r="CH127">
            <v>19.5</v>
          </cell>
          <cell r="CI127">
            <v>7.6</v>
          </cell>
          <cell r="CJ127">
            <v>67.600000000000009</v>
          </cell>
          <cell r="CK127">
            <v>47.099999999999994</v>
          </cell>
          <cell r="CL127">
            <v>6.2</v>
          </cell>
          <cell r="CM127">
            <v>2.1999999999999997</v>
          </cell>
          <cell r="CN127">
            <v>1.6</v>
          </cell>
          <cell r="CO127">
            <v>51.800000000000004</v>
          </cell>
          <cell r="CP127">
            <v>17.899999999999999</v>
          </cell>
          <cell r="CQ127">
            <v>42.6</v>
          </cell>
          <cell r="CR127">
            <v>12.7</v>
          </cell>
          <cell r="CS127">
            <v>26.8</v>
          </cell>
          <cell r="CT127">
            <v>6.7</v>
          </cell>
          <cell r="CU127">
            <v>93.300000000000011</v>
          </cell>
          <cell r="CV127">
            <v>10.6</v>
          </cell>
          <cell r="CW127">
            <v>89.4</v>
          </cell>
          <cell r="CX127">
            <v>10.7</v>
          </cell>
          <cell r="CY127">
            <v>45.6</v>
          </cell>
          <cell r="CZ127">
            <v>43.8</v>
          </cell>
          <cell r="DA127">
            <v>17</v>
          </cell>
          <cell r="DB127" t="str">
            <v>nd</v>
          </cell>
          <cell r="DC127">
            <v>12.8</v>
          </cell>
          <cell r="DD127">
            <v>0</v>
          </cell>
          <cell r="DE127">
            <v>71.3</v>
          </cell>
          <cell r="DF127">
            <v>11.799999999999999</v>
          </cell>
          <cell r="DG127">
            <v>3.5999999999999996</v>
          </cell>
          <cell r="DH127">
            <v>11.700000000000001</v>
          </cell>
          <cell r="DI127">
            <v>12</v>
          </cell>
          <cell r="DJ127">
            <v>39.300000000000004</v>
          </cell>
          <cell r="DK127">
            <v>21.4</v>
          </cell>
          <cell r="DL127">
            <v>8.9</v>
          </cell>
          <cell r="DM127">
            <v>64.7</v>
          </cell>
          <cell r="DN127">
            <v>4.9000000000000004</v>
          </cell>
          <cell r="DO127">
            <v>13</v>
          </cell>
          <cell r="DP127">
            <v>2.1</v>
          </cell>
          <cell r="DQ127">
            <v>1.0999999999999999</v>
          </cell>
          <cell r="DR127">
            <v>16.3</v>
          </cell>
          <cell r="DS127">
            <v>15.9</v>
          </cell>
          <cell r="DT127">
            <v>11.200000000000001</v>
          </cell>
          <cell r="DU127">
            <v>0</v>
          </cell>
          <cell r="DV127">
            <v>0</v>
          </cell>
          <cell r="DW127">
            <v>0</v>
          </cell>
          <cell r="DX127">
            <v>0</v>
          </cell>
          <cell r="DY127">
            <v>0</v>
          </cell>
          <cell r="DZ127">
            <v>2.4205299999999998</v>
          </cell>
          <cell r="EA127">
            <v>2.3616000000000001</v>
          </cell>
          <cell r="EB127">
            <v>6.4794725999999994</v>
          </cell>
          <cell r="EC127">
            <v>2.4005800000000002</v>
          </cell>
          <cell r="ED127" t="str">
            <v>nd</v>
          </cell>
          <cell r="EE127" t="str">
            <v>nd</v>
          </cell>
          <cell r="EF127">
            <v>29.773179599999999</v>
          </cell>
          <cell r="EG127">
            <v>10.495577600000001</v>
          </cell>
          <cell r="EH127">
            <v>6.4265664000000005</v>
          </cell>
          <cell r="EI127">
            <v>2.0950299999999999</v>
          </cell>
          <cell r="EJ127">
            <v>1.01718</v>
          </cell>
          <cell r="EK127">
            <v>1.10358</v>
          </cell>
          <cell r="EL127">
            <v>19.990959100000001</v>
          </cell>
          <cell r="EM127">
            <v>3.9166500000000002</v>
          </cell>
          <cell r="EN127">
            <v>0</v>
          </cell>
          <cell r="EO127" t="str">
            <v>nd</v>
          </cell>
          <cell r="EP127">
            <v>0.74408399999999997</v>
          </cell>
          <cell r="EQ127">
            <v>0.93559000000000003</v>
          </cell>
          <cell r="ER127">
            <v>7.1393816000000001</v>
          </cell>
          <cell r="ES127">
            <v>0</v>
          </cell>
          <cell r="ET127" t="str">
            <v>nd</v>
          </cell>
          <cell r="EU127" t="str">
            <v>nd</v>
          </cell>
          <cell r="EV127" t="str">
            <v>nd</v>
          </cell>
          <cell r="EW127" t="str">
            <v>nd</v>
          </cell>
          <cell r="EX127">
            <v>0</v>
          </cell>
          <cell r="EY127">
            <v>0</v>
          </cell>
          <cell r="EZ127">
            <v>0</v>
          </cell>
          <cell r="FA127">
            <v>0</v>
          </cell>
          <cell r="FB127">
            <v>0</v>
          </cell>
          <cell r="FC127">
            <v>0</v>
          </cell>
          <cell r="FD127">
            <v>0</v>
          </cell>
          <cell r="FE127" t="str">
            <v>nd</v>
          </cell>
          <cell r="FF127">
            <v>2.1191</v>
          </cell>
          <cell r="FG127">
            <v>9.4228758999999993</v>
          </cell>
          <cell r="FH127">
            <v>2.4372400000000001</v>
          </cell>
          <cell r="FI127" t="str">
            <v>nd</v>
          </cell>
          <cell r="FJ127" t="str">
            <v>nd</v>
          </cell>
          <cell r="FK127">
            <v>1.68103</v>
          </cell>
          <cell r="FL127">
            <v>5.8012099999999993</v>
          </cell>
          <cell r="FM127">
            <v>25.914981700000002</v>
          </cell>
          <cell r="FN127">
            <v>16.196087600000002</v>
          </cell>
          <cell r="FO127" t="str">
            <v>nd</v>
          </cell>
          <cell r="FP127">
            <v>0</v>
          </cell>
          <cell r="FQ127">
            <v>0.30895100000000003</v>
          </cell>
          <cell r="FR127">
            <v>2.7877399999999999</v>
          </cell>
          <cell r="FS127">
            <v>9.4197717000000001</v>
          </cell>
          <cell r="FT127">
            <v>14.242888300000001</v>
          </cell>
          <cell r="FU127">
            <v>0</v>
          </cell>
          <cell r="FV127">
            <v>0</v>
          </cell>
          <cell r="FW127" t="str">
            <v>nd</v>
          </cell>
          <cell r="FX127">
            <v>0.60718100000000008</v>
          </cell>
          <cell r="FY127">
            <v>4.5909500000000003</v>
          </cell>
          <cell r="FZ127">
            <v>2.6767500000000002</v>
          </cell>
          <cell r="GA127">
            <v>0</v>
          </cell>
          <cell r="GB127">
            <v>0</v>
          </cell>
          <cell r="GC127">
            <v>0</v>
          </cell>
          <cell r="GD127">
            <v>0</v>
          </cell>
          <cell r="GE127">
            <v>0</v>
          </cell>
          <cell r="GF127">
            <v>1.2545000000000002</v>
          </cell>
          <cell r="GG127">
            <v>2.26823</v>
          </cell>
          <cell r="GH127">
            <v>2.6342699999999999</v>
          </cell>
          <cell r="GI127">
            <v>1.94747</v>
          </cell>
          <cell r="GJ127">
            <v>5.57315</v>
          </cell>
          <cell r="GK127">
            <v>1.53864</v>
          </cell>
          <cell r="GL127" t="str">
            <v>nd</v>
          </cell>
          <cell r="GM127">
            <v>1.17252</v>
          </cell>
          <cell r="GN127">
            <v>1.4283600000000001</v>
          </cell>
          <cell r="GO127">
            <v>8.4246639000000005</v>
          </cell>
          <cell r="GP127">
            <v>22.330689800000002</v>
          </cell>
          <cell r="GQ127">
            <v>16.722798300000001</v>
          </cell>
          <cell r="GR127">
            <v>0</v>
          </cell>
          <cell r="GS127" t="str">
            <v>nd</v>
          </cell>
          <cell r="GT127" t="str">
            <v>nd</v>
          </cell>
          <cell r="GU127" t="str">
            <v>nd</v>
          </cell>
          <cell r="GV127">
            <v>8.4306915999999994</v>
          </cell>
          <cell r="GW127">
            <v>16.8286497</v>
          </cell>
          <cell r="GX127">
            <v>0</v>
          </cell>
          <cell r="GY127">
            <v>0</v>
          </cell>
          <cell r="GZ127">
            <v>0</v>
          </cell>
          <cell r="HA127">
            <v>0</v>
          </cell>
          <cell r="HB127">
            <v>3.9295100000000001</v>
          </cell>
          <cell r="HC127">
            <v>4.1797500000000003</v>
          </cell>
          <cell r="HD127">
            <v>0</v>
          </cell>
          <cell r="HE127">
            <v>0</v>
          </cell>
          <cell r="HF127">
            <v>0</v>
          </cell>
          <cell r="HG127">
            <v>0</v>
          </cell>
          <cell r="HH127">
            <v>0</v>
          </cell>
          <cell r="HI127">
            <v>0</v>
          </cell>
          <cell r="HJ127">
            <v>0</v>
          </cell>
          <cell r="HK127">
            <v>0</v>
          </cell>
          <cell r="HL127">
            <v>1.3148899999999999</v>
          </cell>
          <cell r="HM127">
            <v>11.6246011</v>
          </cell>
          <cell r="HN127">
            <v>2.02461</v>
          </cell>
          <cell r="HO127" t="str">
            <v>nd</v>
          </cell>
          <cell r="HP127">
            <v>0</v>
          </cell>
          <cell r="HQ127" t="str">
            <v>nd</v>
          </cell>
          <cell r="HR127">
            <v>3.9186299999999998</v>
          </cell>
          <cell r="HS127">
            <v>39.642568900000001</v>
          </cell>
          <cell r="HT127">
            <v>5.9644000000000004</v>
          </cell>
          <cell r="HU127">
            <v>0</v>
          </cell>
          <cell r="HV127" t="str">
            <v>nd</v>
          </cell>
          <cell r="HW127">
            <v>0</v>
          </cell>
          <cell r="HX127">
            <v>1.81298</v>
          </cell>
          <cell r="HY127">
            <v>18.711441499999999</v>
          </cell>
          <cell r="HZ127">
            <v>5.9911099999999999</v>
          </cell>
          <cell r="IA127">
            <v>0</v>
          </cell>
          <cell r="IB127">
            <v>0</v>
          </cell>
          <cell r="IC127">
            <v>0</v>
          </cell>
          <cell r="ID127" t="str">
            <v>nd</v>
          </cell>
          <cell r="IE127">
            <v>6.5980135999999998</v>
          </cell>
          <cell r="IF127">
            <v>0.96763999999999994</v>
          </cell>
          <cell r="IG127">
            <v>0</v>
          </cell>
          <cell r="IH127">
            <v>0</v>
          </cell>
          <cell r="II127">
            <v>0</v>
          </cell>
          <cell r="IJ127">
            <v>0</v>
          </cell>
          <cell r="IK127">
            <v>0</v>
          </cell>
          <cell r="IL127">
            <v>0</v>
          </cell>
          <cell r="IM127" t="str">
            <v>nd</v>
          </cell>
          <cell r="IN127">
            <v>0</v>
          </cell>
          <cell r="IO127">
            <v>3.2128299999999999</v>
          </cell>
          <cell r="IP127">
            <v>9.7264218000000007</v>
          </cell>
          <cell r="IQ127">
            <v>1.6738599999999999</v>
          </cell>
          <cell r="IR127">
            <v>0</v>
          </cell>
          <cell r="IS127">
            <v>0</v>
          </cell>
          <cell r="IT127" t="str">
            <v>nd</v>
          </cell>
          <cell r="IU127">
            <v>6.5637326999999992</v>
          </cell>
          <cell r="IV127">
            <v>30.934636300000001</v>
          </cell>
          <cell r="IW127">
            <v>11.9026607</v>
          </cell>
          <cell r="IX127">
            <v>0</v>
          </cell>
          <cell r="IY127">
            <v>0</v>
          </cell>
          <cell r="IZ127">
            <v>0</v>
          </cell>
          <cell r="JA127">
            <v>1.5069399999999999</v>
          </cell>
          <cell r="JB127">
            <v>14.2958956</v>
          </cell>
          <cell r="JC127">
            <v>10.8730327</v>
          </cell>
          <cell r="JD127">
            <v>0</v>
          </cell>
          <cell r="JE127">
            <v>0</v>
          </cell>
          <cell r="JF127">
            <v>0</v>
          </cell>
          <cell r="JG127">
            <v>0</v>
          </cell>
          <cell r="JH127">
            <v>3.9281000000000001</v>
          </cell>
          <cell r="JI127">
            <v>4.2975699999999994</v>
          </cell>
          <cell r="JJ127">
            <v>0</v>
          </cell>
          <cell r="JK127">
            <v>0</v>
          </cell>
          <cell r="JL127">
            <v>0</v>
          </cell>
          <cell r="JM127">
            <v>0</v>
          </cell>
          <cell r="JN127">
            <v>0</v>
          </cell>
          <cell r="JO127">
            <v>0</v>
          </cell>
          <cell r="JP127">
            <v>0</v>
          </cell>
          <cell r="JQ127">
            <v>0</v>
          </cell>
          <cell r="JR127" t="str">
            <v>nd</v>
          </cell>
          <cell r="JS127">
            <v>0</v>
          </cell>
          <cell r="JT127">
            <v>14.712265499999999</v>
          </cell>
          <cell r="JU127">
            <v>0</v>
          </cell>
          <cell r="JV127">
            <v>0</v>
          </cell>
          <cell r="JW127">
            <v>0</v>
          </cell>
          <cell r="JX127" t="str">
            <v>nd</v>
          </cell>
          <cell r="JY127" t="str">
            <v>nd</v>
          </cell>
          <cell r="JZ127">
            <v>49.806452200000003</v>
          </cell>
          <cell r="KA127">
            <v>0</v>
          </cell>
          <cell r="KB127">
            <v>0</v>
          </cell>
          <cell r="KC127">
            <v>0</v>
          </cell>
          <cell r="KD127">
            <v>0</v>
          </cell>
          <cell r="KE127">
            <v>0</v>
          </cell>
          <cell r="KF127">
            <v>26.7894285</v>
          </cell>
          <cell r="KG127">
            <v>0</v>
          </cell>
          <cell r="KH127">
            <v>0</v>
          </cell>
          <cell r="KI127">
            <v>0</v>
          </cell>
          <cell r="KJ127">
            <v>0</v>
          </cell>
          <cell r="KK127">
            <v>0</v>
          </cell>
          <cell r="KL127">
            <v>8.0761865000000004</v>
          </cell>
          <cell r="KM127">
            <v>70.5</v>
          </cell>
          <cell r="KN127">
            <v>6.8000000000000007</v>
          </cell>
          <cell r="KO127">
            <v>9.4</v>
          </cell>
          <cell r="KP127">
            <v>6.7</v>
          </cell>
          <cell r="KQ127">
            <v>6.5</v>
          </cell>
          <cell r="KR127">
            <v>0.1</v>
          </cell>
          <cell r="KS127">
            <v>68.300000000000011</v>
          </cell>
          <cell r="KT127">
            <v>7.5</v>
          </cell>
          <cell r="KU127">
            <v>9.8000000000000007</v>
          </cell>
          <cell r="KV127">
            <v>7.1</v>
          </cell>
          <cell r="KW127">
            <v>7.1999999999999993</v>
          </cell>
          <cell r="KX127">
            <v>0.2</v>
          </cell>
          <cell r="KY127"/>
          <cell r="KZ127"/>
          <cell r="LA127"/>
          <cell r="LB127"/>
          <cell r="LC127"/>
          <cell r="LD127"/>
          <cell r="LE127"/>
          <cell r="LF127"/>
          <cell r="LG127"/>
          <cell r="LH127"/>
          <cell r="LI127"/>
          <cell r="LJ127"/>
          <cell r="LK127"/>
          <cell r="LL127"/>
          <cell r="LM127"/>
          <cell r="LN127"/>
          <cell r="LO127"/>
        </row>
        <row r="128">
          <cell r="A128" t="str">
            <v>EnsCI</v>
          </cell>
          <cell r="B128" t="str">
            <v>128</v>
          </cell>
          <cell r="C128" t="str">
            <v>NAF 38</v>
          </cell>
          <cell r="D128" t="str">
            <v>CI</v>
          </cell>
          <cell r="E128" t="str">
            <v/>
          </cell>
          <cell r="F128">
            <v>0</v>
          </cell>
          <cell r="G128">
            <v>11.899999999999999</v>
          </cell>
          <cell r="H128">
            <v>34.9</v>
          </cell>
          <cell r="I128">
            <v>49.4</v>
          </cell>
          <cell r="J128">
            <v>3.8</v>
          </cell>
          <cell r="K128">
            <v>77.400000000000006</v>
          </cell>
          <cell r="L128">
            <v>4.9000000000000004</v>
          </cell>
          <cell r="M128">
            <v>10.8</v>
          </cell>
          <cell r="N128">
            <v>6.9</v>
          </cell>
          <cell r="O128">
            <v>31.6</v>
          </cell>
          <cell r="P128">
            <v>37.9</v>
          </cell>
          <cell r="Q128">
            <v>27.400000000000002</v>
          </cell>
          <cell r="R128">
            <v>18.2</v>
          </cell>
          <cell r="S128">
            <v>4.5999999999999996</v>
          </cell>
          <cell r="T128">
            <v>37.700000000000003</v>
          </cell>
          <cell r="U128">
            <v>2</v>
          </cell>
          <cell r="V128">
            <v>17.5</v>
          </cell>
          <cell r="W128">
            <v>18</v>
          </cell>
          <cell r="X128">
            <v>80.2</v>
          </cell>
          <cell r="Y128">
            <v>1.7999999999999998</v>
          </cell>
          <cell r="Z128" t="str">
            <v>nd</v>
          </cell>
          <cell r="AA128">
            <v>31.7</v>
          </cell>
          <cell r="AB128" t="str">
            <v>nd</v>
          </cell>
          <cell r="AC128">
            <v>71.7</v>
          </cell>
          <cell r="AD128">
            <v>24.4</v>
          </cell>
          <cell r="AE128">
            <v>74</v>
          </cell>
          <cell r="AF128">
            <v>26</v>
          </cell>
          <cell r="AG128">
            <v>86.8</v>
          </cell>
          <cell r="AH128">
            <v>13.200000000000001</v>
          </cell>
          <cell r="AI128">
            <v>43</v>
          </cell>
          <cell r="AJ128">
            <v>0</v>
          </cell>
          <cell r="AK128" t="str">
            <v>nd</v>
          </cell>
          <cell r="AL128">
            <v>28.499999999999996</v>
          </cell>
          <cell r="AM128">
            <v>27.800000000000004</v>
          </cell>
          <cell r="AN128">
            <v>10.4</v>
          </cell>
          <cell r="AO128">
            <v>15.299999999999999</v>
          </cell>
          <cell r="AP128">
            <v>3.3000000000000003</v>
          </cell>
          <cell r="AQ128">
            <v>50.5</v>
          </cell>
          <cell r="AR128">
            <v>20.5</v>
          </cell>
          <cell r="AS128">
            <v>35.5</v>
          </cell>
          <cell r="AT128">
            <v>20.399999999999999</v>
          </cell>
          <cell r="AU128">
            <v>21.2</v>
          </cell>
          <cell r="AV128">
            <v>8.1</v>
          </cell>
          <cell r="AW128">
            <v>12.6</v>
          </cell>
          <cell r="AX128">
            <v>2.2999999999999998</v>
          </cell>
          <cell r="AY128">
            <v>14.000000000000002</v>
          </cell>
          <cell r="AZ128">
            <v>10.9</v>
          </cell>
          <cell r="BA128">
            <v>22.3</v>
          </cell>
          <cell r="BB128">
            <v>17.2</v>
          </cell>
          <cell r="BC128">
            <v>28.999999999999996</v>
          </cell>
          <cell r="BD128">
            <v>6.6000000000000005</v>
          </cell>
          <cell r="BE128" t="str">
            <v>nd</v>
          </cell>
          <cell r="BF128">
            <v>1.3</v>
          </cell>
          <cell r="BG128">
            <v>1.6</v>
          </cell>
          <cell r="BH128">
            <v>5.5</v>
          </cell>
          <cell r="BI128">
            <v>52.6</v>
          </cell>
          <cell r="BJ128">
            <v>39</v>
          </cell>
          <cell r="BK128">
            <v>0</v>
          </cell>
          <cell r="BL128">
            <v>0</v>
          </cell>
          <cell r="BM128">
            <v>0</v>
          </cell>
          <cell r="BN128">
            <v>3.9</v>
          </cell>
          <cell r="BO128">
            <v>91.9</v>
          </cell>
          <cell r="BP128">
            <v>4.2</v>
          </cell>
          <cell r="BQ128">
            <v>0</v>
          </cell>
          <cell r="BR128" t="str">
            <v>nd</v>
          </cell>
          <cell r="BS128" t="str">
            <v>nd</v>
          </cell>
          <cell r="BT128">
            <v>11.600000000000001</v>
          </cell>
          <cell r="BU128">
            <v>73.900000000000006</v>
          </cell>
          <cell r="BV128">
            <v>13.8</v>
          </cell>
          <cell r="BW128">
            <v>0</v>
          </cell>
          <cell r="BX128">
            <v>0</v>
          </cell>
          <cell r="BY128">
            <v>0</v>
          </cell>
          <cell r="BZ128">
            <v>0</v>
          </cell>
          <cell r="CA128" t="str">
            <v>nd</v>
          </cell>
          <cell r="CB128">
            <v>97.1</v>
          </cell>
          <cell r="CC128">
            <v>12</v>
          </cell>
          <cell r="CD128">
            <v>15.8</v>
          </cell>
          <cell r="CE128" t="str">
            <v>nd</v>
          </cell>
          <cell r="CF128">
            <v>0</v>
          </cell>
          <cell r="CG128">
            <v>0</v>
          </cell>
          <cell r="CH128">
            <v>14.399999999999999</v>
          </cell>
          <cell r="CI128">
            <v>11.700000000000001</v>
          </cell>
          <cell r="CJ128">
            <v>62.7</v>
          </cell>
          <cell r="CK128">
            <v>43.3</v>
          </cell>
          <cell r="CL128">
            <v>4.7</v>
          </cell>
          <cell r="CM128">
            <v>5.0999999999999996</v>
          </cell>
          <cell r="CN128" t="str">
            <v>nd</v>
          </cell>
          <cell r="CO128">
            <v>50.6</v>
          </cell>
          <cell r="CP128">
            <v>23</v>
          </cell>
          <cell r="CQ128">
            <v>28.000000000000004</v>
          </cell>
          <cell r="CR128">
            <v>19.7</v>
          </cell>
          <cell r="CS128">
            <v>29.2</v>
          </cell>
          <cell r="CT128">
            <v>8.9</v>
          </cell>
          <cell r="CU128">
            <v>91.100000000000009</v>
          </cell>
          <cell r="CV128">
            <v>19.100000000000001</v>
          </cell>
          <cell r="CW128">
            <v>80.900000000000006</v>
          </cell>
          <cell r="CX128">
            <v>22</v>
          </cell>
          <cell r="CY128">
            <v>28.499999999999996</v>
          </cell>
          <cell r="CZ128">
            <v>49.4</v>
          </cell>
          <cell r="DA128">
            <v>48.199999999999996</v>
          </cell>
          <cell r="DB128">
            <v>0</v>
          </cell>
          <cell r="DC128">
            <v>13.8</v>
          </cell>
          <cell r="DD128" t="str">
            <v>nd</v>
          </cell>
          <cell r="DE128">
            <v>38.1</v>
          </cell>
          <cell r="DF128">
            <v>17.100000000000001</v>
          </cell>
          <cell r="DG128">
            <v>4.3</v>
          </cell>
          <cell r="DH128">
            <v>9.4</v>
          </cell>
          <cell r="DI128">
            <v>31.6</v>
          </cell>
          <cell r="DJ128">
            <v>22</v>
          </cell>
          <cell r="DK128">
            <v>15.7</v>
          </cell>
          <cell r="DL128">
            <v>16.2</v>
          </cell>
          <cell r="DM128">
            <v>44.3</v>
          </cell>
          <cell r="DN128">
            <v>2.6</v>
          </cell>
          <cell r="DO128">
            <v>26.200000000000003</v>
          </cell>
          <cell r="DP128">
            <v>3.5999999999999996</v>
          </cell>
          <cell r="DQ128">
            <v>15</v>
          </cell>
          <cell r="DR128">
            <v>27</v>
          </cell>
          <cell r="DS128">
            <v>7.9</v>
          </cell>
          <cell r="DT128">
            <v>13.8</v>
          </cell>
          <cell r="DU128">
            <v>0</v>
          </cell>
          <cell r="DV128">
            <v>0</v>
          </cell>
          <cell r="DW128">
            <v>0</v>
          </cell>
          <cell r="DX128">
            <v>0</v>
          </cell>
          <cell r="DY128">
            <v>0</v>
          </cell>
          <cell r="DZ128" t="str">
            <v>nd</v>
          </cell>
          <cell r="EA128">
            <v>2.3356499999999998</v>
          </cell>
          <cell r="EB128">
            <v>2.19651</v>
          </cell>
          <cell r="EC128" t="str">
            <v>nd</v>
          </cell>
          <cell r="ED128" t="str">
            <v>nd</v>
          </cell>
          <cell r="EE128">
            <v>0</v>
          </cell>
          <cell r="EF128">
            <v>10.8205095</v>
          </cell>
          <cell r="EG128">
            <v>11.041748</v>
          </cell>
          <cell r="EH128">
            <v>4.6116599999999996</v>
          </cell>
          <cell r="EI128">
            <v>2.0409999999999999</v>
          </cell>
          <cell r="EJ128">
            <v>5.23895</v>
          </cell>
          <cell r="EK128">
            <v>1.1799300000000001</v>
          </cell>
          <cell r="EL128">
            <v>21.625569500000001</v>
          </cell>
          <cell r="EM128">
            <v>6.6039070000000004</v>
          </cell>
          <cell r="EN128" t="str">
            <v>nd</v>
          </cell>
          <cell r="EO128">
            <v>4.4239899999999999</v>
          </cell>
          <cell r="EP128">
            <v>1.91208</v>
          </cell>
          <cell r="EQ128">
            <v>1.1056699999999999</v>
          </cell>
          <cell r="ER128">
            <v>2.5190100000000002</v>
          </cell>
          <cell r="ES128" t="str">
            <v>nd</v>
          </cell>
          <cell r="ET128" t="str">
            <v>nd</v>
          </cell>
          <cell r="EU128" t="str">
            <v>nd</v>
          </cell>
          <cell r="EV128">
            <v>0</v>
          </cell>
          <cell r="EW128">
            <v>0</v>
          </cell>
          <cell r="EX128">
            <v>0</v>
          </cell>
          <cell r="EY128">
            <v>0</v>
          </cell>
          <cell r="EZ128">
            <v>0</v>
          </cell>
          <cell r="FA128">
            <v>0</v>
          </cell>
          <cell r="FB128">
            <v>0</v>
          </cell>
          <cell r="FC128" t="str">
            <v>nd</v>
          </cell>
          <cell r="FD128" t="str">
            <v>nd</v>
          </cell>
          <cell r="FE128" t="str">
            <v>nd</v>
          </cell>
          <cell r="FF128">
            <v>1.9753099999999999</v>
          </cell>
          <cell r="FG128">
            <v>2.2058299999999997</v>
          </cell>
          <cell r="FH128">
            <v>0</v>
          </cell>
          <cell r="FI128">
            <v>6.5504501000000008</v>
          </cell>
          <cell r="FJ128">
            <v>5.3033700000000001</v>
          </cell>
          <cell r="FK128">
            <v>4.28369</v>
          </cell>
          <cell r="FL128">
            <v>6.5437932000000005</v>
          </cell>
          <cell r="FM128">
            <v>10.0216289</v>
          </cell>
          <cell r="FN128">
            <v>2.4458799999999998</v>
          </cell>
          <cell r="FO128">
            <v>1.9985200000000001</v>
          </cell>
          <cell r="FP128">
            <v>4.08406</v>
          </cell>
          <cell r="FQ128">
            <v>17.052981599999999</v>
          </cell>
          <cell r="FR128">
            <v>8.5766308999999996</v>
          </cell>
          <cell r="FS128">
            <v>16.083412199999998</v>
          </cell>
          <cell r="FT128">
            <v>2.02616</v>
          </cell>
          <cell r="FU128">
            <v>0</v>
          </cell>
          <cell r="FV128" t="str">
            <v>nd</v>
          </cell>
          <cell r="FW128" t="str">
            <v>nd</v>
          </cell>
          <cell r="FX128" t="str">
            <v>nd</v>
          </cell>
          <cell r="FY128">
            <v>0.67879200000000006</v>
          </cell>
          <cell r="FZ128">
            <v>2.1544099999999999</v>
          </cell>
          <cell r="GA128">
            <v>0</v>
          </cell>
          <cell r="GB128">
            <v>0</v>
          </cell>
          <cell r="GC128">
            <v>0</v>
          </cell>
          <cell r="GD128">
            <v>0</v>
          </cell>
          <cell r="GE128">
            <v>0</v>
          </cell>
          <cell r="GF128">
            <v>0</v>
          </cell>
          <cell r="GG128" t="str">
            <v>nd</v>
          </cell>
          <cell r="GH128" t="str">
            <v>nd</v>
          </cell>
          <cell r="GI128" t="str">
            <v>nd</v>
          </cell>
          <cell r="GJ128">
            <v>2.9094700000000002</v>
          </cell>
          <cell r="GK128">
            <v>6.4061425000000005</v>
          </cell>
          <cell r="GL128" t="str">
            <v>nd</v>
          </cell>
          <cell r="GM128" t="str">
            <v>nd</v>
          </cell>
          <cell r="GN128" t="str">
            <v>nd</v>
          </cell>
          <cell r="GO128">
            <v>3.3765499999999995</v>
          </cell>
          <cell r="GP128">
            <v>17.8490243</v>
          </cell>
          <cell r="GQ128">
            <v>12.056368300000001</v>
          </cell>
          <cell r="GR128">
            <v>0</v>
          </cell>
          <cell r="GS128">
            <v>0</v>
          </cell>
          <cell r="GT128">
            <v>0</v>
          </cell>
          <cell r="GU128" t="str">
            <v>nd</v>
          </cell>
          <cell r="GV128">
            <v>31.0930529</v>
          </cell>
          <cell r="GW128">
            <v>18.6978559</v>
          </cell>
          <cell r="GX128">
            <v>0</v>
          </cell>
          <cell r="GY128">
            <v>0</v>
          </cell>
          <cell r="GZ128">
            <v>0</v>
          </cell>
          <cell r="HA128" t="str">
            <v>nd</v>
          </cell>
          <cell r="HB128">
            <v>0.73635399999999995</v>
          </cell>
          <cell r="HC128">
            <v>1.8878200000000001</v>
          </cell>
          <cell r="HD128">
            <v>0</v>
          </cell>
          <cell r="HE128">
            <v>0</v>
          </cell>
          <cell r="HF128">
            <v>0</v>
          </cell>
          <cell r="HG128">
            <v>0</v>
          </cell>
          <cell r="HH128">
            <v>0</v>
          </cell>
          <cell r="HI128">
            <v>0</v>
          </cell>
          <cell r="HJ128">
            <v>0</v>
          </cell>
          <cell r="HK128">
            <v>0</v>
          </cell>
          <cell r="HL128">
            <v>0</v>
          </cell>
          <cell r="HM128">
            <v>11.046644300000001</v>
          </cell>
          <cell r="HN128" t="str">
            <v>nd</v>
          </cell>
          <cell r="HO128">
            <v>0</v>
          </cell>
          <cell r="HP128">
            <v>0</v>
          </cell>
          <cell r="HQ128">
            <v>0</v>
          </cell>
          <cell r="HR128" t="str">
            <v>nd</v>
          </cell>
          <cell r="HS128">
            <v>32.6805144</v>
          </cell>
          <cell r="HT128">
            <v>1.5356000000000001</v>
          </cell>
          <cell r="HU128">
            <v>0</v>
          </cell>
          <cell r="HV128">
            <v>0</v>
          </cell>
          <cell r="HW128">
            <v>0</v>
          </cell>
          <cell r="HX128" t="str">
            <v>nd</v>
          </cell>
          <cell r="HY128">
            <v>46.2363632</v>
          </cell>
          <cell r="HZ128">
            <v>1.1003400000000001</v>
          </cell>
          <cell r="IA128">
            <v>0</v>
          </cell>
          <cell r="IB128">
            <v>0</v>
          </cell>
          <cell r="IC128">
            <v>0</v>
          </cell>
          <cell r="ID128" t="str">
            <v>nd</v>
          </cell>
          <cell r="IE128">
            <v>1.9057000000000002</v>
          </cell>
          <cell r="IF128">
            <v>1.34748</v>
          </cell>
          <cell r="IG128">
            <v>0</v>
          </cell>
          <cell r="IH128">
            <v>0</v>
          </cell>
          <cell r="II128">
            <v>0</v>
          </cell>
          <cell r="IJ128">
            <v>0</v>
          </cell>
          <cell r="IK128">
            <v>0</v>
          </cell>
          <cell r="IL128">
            <v>0</v>
          </cell>
          <cell r="IM128">
            <v>0</v>
          </cell>
          <cell r="IN128">
            <v>0</v>
          </cell>
          <cell r="IO128">
            <v>2.3883899999999998</v>
          </cell>
          <cell r="IP128">
            <v>2.68059</v>
          </cell>
          <cell r="IQ128">
            <v>1.6545299999999998</v>
          </cell>
          <cell r="IR128">
            <v>0</v>
          </cell>
          <cell r="IS128">
            <v>0</v>
          </cell>
          <cell r="IT128">
            <v>0</v>
          </cell>
          <cell r="IU128">
            <v>4.7417800000000003</v>
          </cell>
          <cell r="IV128">
            <v>22.5248536</v>
          </cell>
          <cell r="IW128">
            <v>7.1271183000000002</v>
          </cell>
          <cell r="IX128">
            <v>0</v>
          </cell>
          <cell r="IY128" t="str">
            <v>nd</v>
          </cell>
          <cell r="IZ128" t="str">
            <v>nd</v>
          </cell>
          <cell r="JA128">
            <v>3.4695200000000002</v>
          </cell>
          <cell r="JB128">
            <v>47.260165100000002</v>
          </cell>
          <cell r="JC128">
            <v>3.56698</v>
          </cell>
          <cell r="JD128">
            <v>0</v>
          </cell>
          <cell r="JE128">
            <v>0</v>
          </cell>
          <cell r="JF128">
            <v>0</v>
          </cell>
          <cell r="JG128" t="str">
            <v>nd</v>
          </cell>
          <cell r="JH128">
            <v>1.41578</v>
          </cell>
          <cell r="JI128">
            <v>1.4552499999999999</v>
          </cell>
          <cell r="JJ128">
            <v>0</v>
          </cell>
          <cell r="JK128">
            <v>0</v>
          </cell>
          <cell r="JL128">
            <v>0</v>
          </cell>
          <cell r="JM128">
            <v>0</v>
          </cell>
          <cell r="JN128">
            <v>0</v>
          </cell>
          <cell r="JO128">
            <v>0</v>
          </cell>
          <cell r="JP128">
            <v>0</v>
          </cell>
          <cell r="JQ128">
            <v>0</v>
          </cell>
          <cell r="JR128">
            <v>0</v>
          </cell>
          <cell r="JS128">
            <v>0</v>
          </cell>
          <cell r="JT128">
            <v>6.7993328000000002</v>
          </cell>
          <cell r="JU128">
            <v>0</v>
          </cell>
          <cell r="JV128">
            <v>0</v>
          </cell>
          <cell r="JW128">
            <v>0</v>
          </cell>
          <cell r="JX128">
            <v>0</v>
          </cell>
          <cell r="JY128">
            <v>0</v>
          </cell>
          <cell r="JZ128">
            <v>33.246307899999998</v>
          </cell>
          <cell r="KA128">
            <v>0</v>
          </cell>
          <cell r="KB128">
            <v>0</v>
          </cell>
          <cell r="KC128">
            <v>0</v>
          </cell>
          <cell r="KD128">
            <v>0</v>
          </cell>
          <cell r="KE128" t="str">
            <v>nd</v>
          </cell>
          <cell r="KF128">
            <v>53.157366199999998</v>
          </cell>
          <cell r="KG128">
            <v>0</v>
          </cell>
          <cell r="KH128">
            <v>0</v>
          </cell>
          <cell r="KI128">
            <v>0</v>
          </cell>
          <cell r="KJ128">
            <v>0</v>
          </cell>
          <cell r="KK128">
            <v>0</v>
          </cell>
          <cell r="KL128">
            <v>3.9171900000000002</v>
          </cell>
          <cell r="KM128">
            <v>53</v>
          </cell>
          <cell r="KN128">
            <v>31.6</v>
          </cell>
          <cell r="KO128">
            <v>4.8</v>
          </cell>
          <cell r="KP128">
            <v>5</v>
          </cell>
          <cell r="KQ128">
            <v>5.3</v>
          </cell>
          <cell r="KR128">
            <v>0.1</v>
          </cell>
          <cell r="KS128">
            <v>51.7</v>
          </cell>
          <cell r="KT128">
            <v>31.6</v>
          </cell>
          <cell r="KU128">
            <v>5.2</v>
          </cell>
          <cell r="KV128">
            <v>5.3</v>
          </cell>
          <cell r="KW128">
            <v>6</v>
          </cell>
          <cell r="KX128">
            <v>0.1</v>
          </cell>
          <cell r="KY128"/>
          <cell r="KZ128"/>
          <cell r="LA128"/>
          <cell r="LB128"/>
          <cell r="LC128"/>
          <cell r="LD128"/>
          <cell r="LE128"/>
          <cell r="LF128"/>
          <cell r="LG128"/>
          <cell r="LH128"/>
          <cell r="LI128"/>
          <cell r="LJ128"/>
          <cell r="LK128"/>
          <cell r="LL128"/>
          <cell r="LM128"/>
          <cell r="LN128"/>
          <cell r="LO128"/>
        </row>
        <row r="129">
          <cell r="A129" t="str">
            <v>EnsCJ</v>
          </cell>
          <cell r="B129" t="str">
            <v>129</v>
          </cell>
          <cell r="C129" t="str">
            <v>NAF 38</v>
          </cell>
          <cell r="D129" t="str">
            <v>CJ</v>
          </cell>
          <cell r="E129" t="str">
            <v/>
          </cell>
          <cell r="F129">
            <v>0</v>
          </cell>
          <cell r="G129">
            <v>10.9</v>
          </cell>
          <cell r="H129">
            <v>43.3</v>
          </cell>
          <cell r="I129">
            <v>33.700000000000003</v>
          </cell>
          <cell r="J129">
            <v>12.2</v>
          </cell>
          <cell r="K129">
            <v>76.599999999999994</v>
          </cell>
          <cell r="L129">
            <v>5.2</v>
          </cell>
          <cell r="M129">
            <v>17.5</v>
          </cell>
          <cell r="N129" t="str">
            <v>nd</v>
          </cell>
          <cell r="O129">
            <v>27</v>
          </cell>
          <cell r="P129">
            <v>24.8</v>
          </cell>
          <cell r="Q129">
            <v>33.700000000000003</v>
          </cell>
          <cell r="R129">
            <v>3.5000000000000004</v>
          </cell>
          <cell r="S129">
            <v>7.3</v>
          </cell>
          <cell r="T129">
            <v>46.5</v>
          </cell>
          <cell r="U129">
            <v>3</v>
          </cell>
          <cell r="V129">
            <v>17.599999999999998</v>
          </cell>
          <cell r="W129">
            <v>15.4</v>
          </cell>
          <cell r="X129">
            <v>81</v>
          </cell>
          <cell r="Y129">
            <v>3.5999999999999996</v>
          </cell>
          <cell r="Z129" t="str">
            <v>nd</v>
          </cell>
          <cell r="AA129">
            <v>66.2</v>
          </cell>
          <cell r="AB129">
            <v>12.2</v>
          </cell>
          <cell r="AC129">
            <v>46</v>
          </cell>
          <cell r="AD129">
            <v>39.6</v>
          </cell>
          <cell r="AE129">
            <v>78.5</v>
          </cell>
          <cell r="AF129">
            <v>21.5</v>
          </cell>
          <cell r="AG129">
            <v>86.1</v>
          </cell>
          <cell r="AH129">
            <v>13.900000000000002</v>
          </cell>
          <cell r="AI129">
            <v>47.699999999999996</v>
          </cell>
          <cell r="AJ129" t="str">
            <v>nd</v>
          </cell>
          <cell r="AK129" t="str">
            <v>nd</v>
          </cell>
          <cell r="AL129">
            <v>36.1</v>
          </cell>
          <cell r="AM129">
            <v>9.8000000000000007</v>
          </cell>
          <cell r="AN129">
            <v>12.9</v>
          </cell>
          <cell r="AO129" t="str">
            <v>nd</v>
          </cell>
          <cell r="AP129">
            <v>5.6000000000000005</v>
          </cell>
          <cell r="AQ129">
            <v>73.2</v>
          </cell>
          <cell r="AR129">
            <v>4.1000000000000005</v>
          </cell>
          <cell r="AS129">
            <v>44</v>
          </cell>
          <cell r="AT129">
            <v>37.299999999999997</v>
          </cell>
          <cell r="AU129">
            <v>9.5</v>
          </cell>
          <cell r="AV129">
            <v>5.4</v>
          </cell>
          <cell r="AW129" t="str">
            <v>nd</v>
          </cell>
          <cell r="AX129">
            <v>1.7999999999999998</v>
          </cell>
          <cell r="AY129">
            <v>3.5999999999999996</v>
          </cell>
          <cell r="AZ129">
            <v>9.5</v>
          </cell>
          <cell r="BA129">
            <v>19.2</v>
          </cell>
          <cell r="BB129">
            <v>20.8</v>
          </cell>
          <cell r="BC129">
            <v>35.799999999999997</v>
          </cell>
          <cell r="BD129">
            <v>11.1</v>
          </cell>
          <cell r="BE129">
            <v>0</v>
          </cell>
          <cell r="BF129">
            <v>0</v>
          </cell>
          <cell r="BG129" t="str">
            <v>nd</v>
          </cell>
          <cell r="BH129">
            <v>7.6</v>
          </cell>
          <cell r="BI129">
            <v>48.199999999999996</v>
          </cell>
          <cell r="BJ129">
            <v>42.8</v>
          </cell>
          <cell r="BK129">
            <v>0</v>
          </cell>
          <cell r="BL129">
            <v>0</v>
          </cell>
          <cell r="BM129">
            <v>0</v>
          </cell>
          <cell r="BN129">
            <v>8.2000000000000011</v>
          </cell>
          <cell r="BO129">
            <v>85.8</v>
          </cell>
          <cell r="BP129">
            <v>6</v>
          </cell>
          <cell r="BQ129">
            <v>0</v>
          </cell>
          <cell r="BR129">
            <v>0</v>
          </cell>
          <cell r="BS129">
            <v>0</v>
          </cell>
          <cell r="BT129">
            <v>12.5</v>
          </cell>
          <cell r="BU129">
            <v>72.7</v>
          </cell>
          <cell r="BV129">
            <v>14.799999999999999</v>
          </cell>
          <cell r="BW129">
            <v>0</v>
          </cell>
          <cell r="BX129">
            <v>0</v>
          </cell>
          <cell r="BY129">
            <v>0</v>
          </cell>
          <cell r="BZ129">
            <v>0</v>
          </cell>
          <cell r="CA129" t="str">
            <v>nd</v>
          </cell>
          <cell r="CB129">
            <v>93.2</v>
          </cell>
          <cell r="CC129">
            <v>21.7</v>
          </cell>
          <cell r="CD129">
            <v>28.7</v>
          </cell>
          <cell r="CE129" t="str">
            <v>nd</v>
          </cell>
          <cell r="CF129">
            <v>0</v>
          </cell>
          <cell r="CG129" t="str">
            <v>nd</v>
          </cell>
          <cell r="CH129">
            <v>26.400000000000002</v>
          </cell>
          <cell r="CI129">
            <v>10.199999999999999</v>
          </cell>
          <cell r="CJ129">
            <v>44.9</v>
          </cell>
          <cell r="CK129">
            <v>50.7</v>
          </cell>
          <cell r="CL129">
            <v>17.8</v>
          </cell>
          <cell r="CM129">
            <v>0</v>
          </cell>
          <cell r="CN129">
            <v>0</v>
          </cell>
          <cell r="CO129">
            <v>43.6</v>
          </cell>
          <cell r="CP129">
            <v>13</v>
          </cell>
          <cell r="CQ129">
            <v>44.3</v>
          </cell>
          <cell r="CR129">
            <v>9.9</v>
          </cell>
          <cell r="CS129">
            <v>32.9</v>
          </cell>
          <cell r="CT129">
            <v>14.7</v>
          </cell>
          <cell r="CU129">
            <v>85.3</v>
          </cell>
          <cell r="CV129">
            <v>7.7</v>
          </cell>
          <cell r="CW129">
            <v>92.300000000000011</v>
          </cell>
          <cell r="CX129">
            <v>14.899999999999999</v>
          </cell>
          <cell r="CY129">
            <v>46.800000000000004</v>
          </cell>
          <cell r="CZ129">
            <v>38.299999999999997</v>
          </cell>
          <cell r="DA129" t="str">
            <v>nd</v>
          </cell>
          <cell r="DB129" t="str">
            <v>nd</v>
          </cell>
          <cell r="DC129" t="str">
            <v>nd</v>
          </cell>
          <cell r="DD129">
            <v>0</v>
          </cell>
          <cell r="DE129">
            <v>75.400000000000006</v>
          </cell>
          <cell r="DF129">
            <v>11.4</v>
          </cell>
          <cell r="DG129">
            <v>3.6999999999999997</v>
          </cell>
          <cell r="DH129">
            <v>11.5</v>
          </cell>
          <cell r="DI129">
            <v>22.900000000000002</v>
          </cell>
          <cell r="DJ129">
            <v>24.4</v>
          </cell>
          <cell r="DK129">
            <v>26.1</v>
          </cell>
          <cell r="DL129">
            <v>15.1</v>
          </cell>
          <cell r="DM129">
            <v>53.800000000000004</v>
          </cell>
          <cell r="DN129">
            <v>3.1</v>
          </cell>
          <cell r="DO129">
            <v>13.600000000000001</v>
          </cell>
          <cell r="DP129">
            <v>5.7</v>
          </cell>
          <cell r="DQ129" t="str">
            <v>nd</v>
          </cell>
          <cell r="DR129">
            <v>26.1</v>
          </cell>
          <cell r="DS129">
            <v>14.000000000000002</v>
          </cell>
          <cell r="DT129">
            <v>23.3</v>
          </cell>
          <cell r="DU129">
            <v>0</v>
          </cell>
          <cell r="DV129">
            <v>0</v>
          </cell>
          <cell r="DW129">
            <v>0</v>
          </cell>
          <cell r="DX129">
            <v>0</v>
          </cell>
          <cell r="DY129">
            <v>0</v>
          </cell>
          <cell r="DZ129">
            <v>2.67713</v>
          </cell>
          <cell r="EA129" t="str">
            <v>nd</v>
          </cell>
          <cell r="EB129" t="str">
            <v>nd</v>
          </cell>
          <cell r="EC129">
            <v>0</v>
          </cell>
          <cell r="ED129" t="str">
            <v>nd</v>
          </cell>
          <cell r="EE129">
            <v>0</v>
          </cell>
          <cell r="EF129">
            <v>15.580933199999999</v>
          </cell>
          <cell r="EG129">
            <v>14.442157099999999</v>
          </cell>
          <cell r="EH129">
            <v>8.2517783999999992</v>
          </cell>
          <cell r="EI129">
            <v>2.8731300000000002</v>
          </cell>
          <cell r="EJ129" t="str">
            <v>nd</v>
          </cell>
          <cell r="EK129">
            <v>0.61671299999999996</v>
          </cell>
          <cell r="EL129">
            <v>20.893908100000001</v>
          </cell>
          <cell r="EM129">
            <v>8.5312456000000001</v>
          </cell>
          <cell r="EN129" t="str">
            <v>nd</v>
          </cell>
          <cell r="EO129" t="str">
            <v>nd</v>
          </cell>
          <cell r="EP129">
            <v>0</v>
          </cell>
          <cell r="EQ129">
            <v>1.2158199999999999</v>
          </cell>
          <cell r="ER129">
            <v>5.6907100000000002</v>
          </cell>
          <cell r="ES129">
            <v>6.0727200000000003</v>
          </cell>
          <cell r="ET129">
            <v>0</v>
          </cell>
          <cell r="EU129">
            <v>0</v>
          </cell>
          <cell r="EV129">
            <v>0</v>
          </cell>
          <cell r="EW129">
            <v>0</v>
          </cell>
          <cell r="EX129">
            <v>0</v>
          </cell>
          <cell r="EY129">
            <v>0</v>
          </cell>
          <cell r="EZ129">
            <v>0</v>
          </cell>
          <cell r="FA129">
            <v>0</v>
          </cell>
          <cell r="FB129">
            <v>0</v>
          </cell>
          <cell r="FC129" t="str">
            <v>nd</v>
          </cell>
          <cell r="FD129">
            <v>0</v>
          </cell>
          <cell r="FE129">
            <v>7.9762353999999993</v>
          </cell>
          <cell r="FF129" t="str">
            <v>nd</v>
          </cell>
          <cell r="FG129">
            <v>1.19557</v>
          </cell>
          <cell r="FH129" t="str">
            <v>nd</v>
          </cell>
          <cell r="FI129" t="str">
            <v>nd</v>
          </cell>
          <cell r="FJ129">
            <v>8.0787426</v>
          </cell>
          <cell r="FK129" t="str">
            <v>nd</v>
          </cell>
          <cell r="FL129">
            <v>9.4916003999999994</v>
          </cell>
          <cell r="FM129">
            <v>19.148084400000002</v>
          </cell>
          <cell r="FN129">
            <v>3.9001000000000001</v>
          </cell>
          <cell r="FO129">
            <v>1.1239600000000001</v>
          </cell>
          <cell r="FP129" t="str">
            <v>nd</v>
          </cell>
          <cell r="FQ129">
            <v>5.7373899999999995</v>
          </cell>
          <cell r="FR129">
            <v>7.7857841999999993</v>
          </cell>
          <cell r="FS129">
            <v>13.271455600000001</v>
          </cell>
          <cell r="FT129">
            <v>5.4625300000000001</v>
          </cell>
          <cell r="FU129" t="str">
            <v>nd</v>
          </cell>
          <cell r="FV129">
            <v>0</v>
          </cell>
          <cell r="FW129">
            <v>4.5913599999999999</v>
          </cell>
          <cell r="FX129">
            <v>2.3511199999999999</v>
          </cell>
          <cell r="FY129">
            <v>2.96774</v>
          </cell>
          <cell r="FZ129" t="str">
            <v>nd</v>
          </cell>
          <cell r="GA129">
            <v>0</v>
          </cell>
          <cell r="GB129">
            <v>0</v>
          </cell>
          <cell r="GC129">
            <v>0</v>
          </cell>
          <cell r="GD129">
            <v>0</v>
          </cell>
          <cell r="GE129">
            <v>0</v>
          </cell>
          <cell r="GF129">
            <v>0</v>
          </cell>
          <cell r="GG129">
            <v>0</v>
          </cell>
          <cell r="GH129" t="str">
            <v>nd</v>
          </cell>
          <cell r="GI129">
            <v>0</v>
          </cell>
          <cell r="GJ129">
            <v>8.4223439999999989</v>
          </cell>
          <cell r="GK129">
            <v>2.0032700000000001</v>
          </cell>
          <cell r="GL129">
            <v>0</v>
          </cell>
          <cell r="GM129">
            <v>0</v>
          </cell>
          <cell r="GN129" t="str">
            <v>nd</v>
          </cell>
          <cell r="GO129">
            <v>7.5892688000000001</v>
          </cell>
          <cell r="GP129">
            <v>18.475724499999998</v>
          </cell>
          <cell r="GQ129">
            <v>16.536871999999999</v>
          </cell>
          <cell r="GR129">
            <v>0</v>
          </cell>
          <cell r="GS129">
            <v>0</v>
          </cell>
          <cell r="GT129">
            <v>0</v>
          </cell>
          <cell r="GU129">
            <v>0</v>
          </cell>
          <cell r="GV129">
            <v>13.596422199999999</v>
          </cell>
          <cell r="GW129">
            <v>21.183667799999998</v>
          </cell>
          <cell r="GX129">
            <v>0</v>
          </cell>
          <cell r="GY129">
            <v>0</v>
          </cell>
          <cell r="GZ129">
            <v>0</v>
          </cell>
          <cell r="HA129">
            <v>0</v>
          </cell>
          <cell r="HB129">
            <v>7.3526000999999992</v>
          </cell>
          <cell r="HC129">
            <v>3.4612999999999996</v>
          </cell>
          <cell r="HD129">
            <v>0</v>
          </cell>
          <cell r="HE129">
            <v>0</v>
          </cell>
          <cell r="HF129">
            <v>0</v>
          </cell>
          <cell r="HG129">
            <v>0</v>
          </cell>
          <cell r="HH129">
            <v>0</v>
          </cell>
          <cell r="HI129">
            <v>0</v>
          </cell>
          <cell r="HJ129">
            <v>0</v>
          </cell>
          <cell r="HK129">
            <v>0</v>
          </cell>
          <cell r="HL129">
            <v>0</v>
          </cell>
          <cell r="HM129">
            <v>10.3265469</v>
          </cell>
          <cell r="HN129" t="str">
            <v>nd</v>
          </cell>
          <cell r="HO129">
            <v>0</v>
          </cell>
          <cell r="HP129">
            <v>0</v>
          </cell>
          <cell r="HQ129">
            <v>0</v>
          </cell>
          <cell r="HR129">
            <v>3.17082</v>
          </cell>
          <cell r="HS129">
            <v>39.159713499999995</v>
          </cell>
          <cell r="HT129">
            <v>0.78063199999999999</v>
          </cell>
          <cell r="HU129">
            <v>0</v>
          </cell>
          <cell r="HV129">
            <v>0</v>
          </cell>
          <cell r="HW129">
            <v>0</v>
          </cell>
          <cell r="HX129">
            <v>3.0411000000000001</v>
          </cell>
          <cell r="HY129">
            <v>27.283343100000003</v>
          </cell>
          <cell r="HZ129">
            <v>3.9951100000000004</v>
          </cell>
          <cell r="IA129">
            <v>0</v>
          </cell>
          <cell r="IB129">
            <v>0</v>
          </cell>
          <cell r="IC129">
            <v>0</v>
          </cell>
          <cell r="ID129" t="str">
            <v>nd</v>
          </cell>
          <cell r="IE129">
            <v>8.9068646000000005</v>
          </cell>
          <cell r="IF129" t="str">
            <v>nd</v>
          </cell>
          <cell r="IG129">
            <v>0</v>
          </cell>
          <cell r="IH129">
            <v>0</v>
          </cell>
          <cell r="II129">
            <v>0</v>
          </cell>
          <cell r="IJ129">
            <v>0</v>
          </cell>
          <cell r="IK129">
            <v>0</v>
          </cell>
          <cell r="IL129">
            <v>0</v>
          </cell>
          <cell r="IM129">
            <v>0</v>
          </cell>
          <cell r="IN129">
            <v>0</v>
          </cell>
          <cell r="IO129">
            <v>0</v>
          </cell>
          <cell r="IP129">
            <v>3.4048000000000003</v>
          </cell>
          <cell r="IQ129" t="str">
            <v>nd</v>
          </cell>
          <cell r="IR129">
            <v>0</v>
          </cell>
          <cell r="IS129">
            <v>0</v>
          </cell>
          <cell r="IT129">
            <v>0</v>
          </cell>
          <cell r="IU129">
            <v>7.8873569000000003</v>
          </cell>
          <cell r="IV129">
            <v>36.352440800000004</v>
          </cell>
          <cell r="IW129">
            <v>3.2446999999999995</v>
          </cell>
          <cell r="IX129">
            <v>0</v>
          </cell>
          <cell r="IY129">
            <v>0</v>
          </cell>
          <cell r="IZ129">
            <v>0</v>
          </cell>
          <cell r="JA129">
            <v>2.51302</v>
          </cell>
          <cell r="JB129">
            <v>25.6690833</v>
          </cell>
          <cell r="JC129">
            <v>8.4477583000000003</v>
          </cell>
          <cell r="JD129">
            <v>0</v>
          </cell>
          <cell r="JE129">
            <v>0</v>
          </cell>
          <cell r="JF129">
            <v>0</v>
          </cell>
          <cell r="JG129" t="str">
            <v>nd</v>
          </cell>
          <cell r="JH129">
            <v>8.1559416999999996</v>
          </cell>
          <cell r="JI129">
            <v>2.5470900000000003</v>
          </cell>
          <cell r="JJ129">
            <v>0</v>
          </cell>
          <cell r="JK129">
            <v>0</v>
          </cell>
          <cell r="JL129">
            <v>0</v>
          </cell>
          <cell r="JM129">
            <v>0</v>
          </cell>
          <cell r="JN129">
            <v>0</v>
          </cell>
          <cell r="JO129">
            <v>0</v>
          </cell>
          <cell r="JP129">
            <v>0</v>
          </cell>
          <cell r="JQ129">
            <v>0</v>
          </cell>
          <cell r="JR129">
            <v>0</v>
          </cell>
          <cell r="JS129" t="str">
            <v>nd</v>
          </cell>
          <cell r="JT129">
            <v>3.8000899999999995</v>
          </cell>
          <cell r="JU129">
            <v>0</v>
          </cell>
          <cell r="JV129">
            <v>0</v>
          </cell>
          <cell r="JW129">
            <v>0</v>
          </cell>
          <cell r="JX129">
            <v>0</v>
          </cell>
          <cell r="JY129">
            <v>0</v>
          </cell>
          <cell r="JZ129">
            <v>44.040506100000002</v>
          </cell>
          <cell r="KA129">
            <v>0</v>
          </cell>
          <cell r="KB129">
            <v>0</v>
          </cell>
          <cell r="KC129">
            <v>0</v>
          </cell>
          <cell r="KD129">
            <v>0</v>
          </cell>
          <cell r="KE129">
            <v>0</v>
          </cell>
          <cell r="KF129">
            <v>33.565452699999994</v>
          </cell>
          <cell r="KG129">
            <v>0</v>
          </cell>
          <cell r="KH129">
            <v>0</v>
          </cell>
          <cell r="KI129">
            <v>0</v>
          </cell>
          <cell r="KJ129">
            <v>0</v>
          </cell>
          <cell r="KK129">
            <v>0</v>
          </cell>
          <cell r="KL129">
            <v>11.8507698</v>
          </cell>
          <cell r="KM129">
            <v>63.7</v>
          </cell>
          <cell r="KN129">
            <v>20.5</v>
          </cell>
          <cell r="KO129">
            <v>4</v>
          </cell>
          <cell r="KP129">
            <v>6</v>
          </cell>
          <cell r="KQ129">
            <v>5.5</v>
          </cell>
          <cell r="KR129">
            <v>0.3</v>
          </cell>
          <cell r="KS129">
            <v>62.1</v>
          </cell>
          <cell r="KT129">
            <v>20.7</v>
          </cell>
          <cell r="KU129">
            <v>4.3999999999999995</v>
          </cell>
          <cell r="KV129">
            <v>6.3</v>
          </cell>
          <cell r="KW129">
            <v>6.1</v>
          </cell>
          <cell r="KX129">
            <v>0.3</v>
          </cell>
          <cell r="KY129"/>
          <cell r="KZ129"/>
          <cell r="LA129"/>
          <cell r="LB129"/>
          <cell r="LC129"/>
          <cell r="LD129"/>
          <cell r="LE129"/>
          <cell r="LF129"/>
          <cell r="LG129"/>
          <cell r="LH129"/>
          <cell r="LI129"/>
          <cell r="LJ129"/>
          <cell r="LK129"/>
          <cell r="LL129"/>
          <cell r="LM129"/>
          <cell r="LN129"/>
          <cell r="LO129"/>
        </row>
        <row r="130">
          <cell r="A130" t="str">
            <v>EnsCK</v>
          </cell>
          <cell r="B130" t="str">
            <v>130</v>
          </cell>
          <cell r="C130" t="str">
            <v>NAF 38</v>
          </cell>
          <cell r="D130" t="str">
            <v>CK</v>
          </cell>
          <cell r="E130" t="str">
            <v/>
          </cell>
          <cell r="F130" t="str">
            <v>nd</v>
          </cell>
          <cell r="G130">
            <v>11.1</v>
          </cell>
          <cell r="H130">
            <v>44.3</v>
          </cell>
          <cell r="I130">
            <v>38.1</v>
          </cell>
          <cell r="J130">
            <v>6.1</v>
          </cell>
          <cell r="K130">
            <v>67.900000000000006</v>
          </cell>
          <cell r="L130">
            <v>1.9</v>
          </cell>
          <cell r="M130">
            <v>21.7</v>
          </cell>
          <cell r="N130">
            <v>8.6</v>
          </cell>
          <cell r="O130">
            <v>33.700000000000003</v>
          </cell>
          <cell r="P130">
            <v>26.200000000000003</v>
          </cell>
          <cell r="Q130">
            <v>35.699999999999996</v>
          </cell>
          <cell r="R130">
            <v>8.4</v>
          </cell>
          <cell r="S130">
            <v>9.8000000000000007</v>
          </cell>
          <cell r="T130">
            <v>45.1</v>
          </cell>
          <cell r="U130" t="str">
            <v>nd</v>
          </cell>
          <cell r="V130">
            <v>15.299999999999999</v>
          </cell>
          <cell r="W130">
            <v>14.899999999999999</v>
          </cell>
          <cell r="X130">
            <v>83.399999999999991</v>
          </cell>
          <cell r="Y130">
            <v>1.7000000000000002</v>
          </cell>
          <cell r="Z130">
            <v>15.8</v>
          </cell>
          <cell r="AA130">
            <v>54.400000000000006</v>
          </cell>
          <cell r="AB130" t="str">
            <v>nd</v>
          </cell>
          <cell r="AC130">
            <v>62.3</v>
          </cell>
          <cell r="AD130" t="str">
            <v>nd</v>
          </cell>
          <cell r="AE130">
            <v>68.600000000000009</v>
          </cell>
          <cell r="AF130">
            <v>31.4</v>
          </cell>
          <cell r="AG130">
            <v>79.400000000000006</v>
          </cell>
          <cell r="AH130">
            <v>20.599999999999998</v>
          </cell>
          <cell r="AI130">
            <v>52.300000000000004</v>
          </cell>
          <cell r="AJ130">
            <v>2</v>
          </cell>
          <cell r="AK130">
            <v>5.3</v>
          </cell>
          <cell r="AL130">
            <v>36.9</v>
          </cell>
          <cell r="AM130">
            <v>3.5000000000000004</v>
          </cell>
          <cell r="AN130">
            <v>16.8</v>
          </cell>
          <cell r="AO130">
            <v>5.5</v>
          </cell>
          <cell r="AP130">
            <v>8.5</v>
          </cell>
          <cell r="AQ130">
            <v>60.6</v>
          </cell>
          <cell r="AR130">
            <v>8.6</v>
          </cell>
          <cell r="AS130">
            <v>44.7</v>
          </cell>
          <cell r="AT130">
            <v>29.9</v>
          </cell>
          <cell r="AU130">
            <v>14.2</v>
          </cell>
          <cell r="AV130">
            <v>4</v>
          </cell>
          <cell r="AW130">
            <v>3.3000000000000003</v>
          </cell>
          <cell r="AX130">
            <v>3.9</v>
          </cell>
          <cell r="AY130">
            <v>1.7000000000000002</v>
          </cell>
          <cell r="AZ130">
            <v>6.6000000000000005</v>
          </cell>
          <cell r="BA130">
            <v>14.499999999999998</v>
          </cell>
          <cell r="BB130">
            <v>30.599999999999998</v>
          </cell>
          <cell r="BC130">
            <v>28.4</v>
          </cell>
          <cell r="BD130">
            <v>18.2</v>
          </cell>
          <cell r="BE130" t="str">
            <v>nd</v>
          </cell>
          <cell r="BF130">
            <v>0.70000000000000007</v>
          </cell>
          <cell r="BG130">
            <v>3.5000000000000004</v>
          </cell>
          <cell r="BH130">
            <v>4</v>
          </cell>
          <cell r="BI130">
            <v>45</v>
          </cell>
          <cell r="BJ130">
            <v>46.300000000000004</v>
          </cell>
          <cell r="BK130">
            <v>0</v>
          </cell>
          <cell r="BL130">
            <v>0</v>
          </cell>
          <cell r="BM130" t="str">
            <v>nd</v>
          </cell>
          <cell r="BN130">
            <v>6.2</v>
          </cell>
          <cell r="BO130">
            <v>82.199999999999989</v>
          </cell>
          <cell r="BP130">
            <v>11</v>
          </cell>
          <cell r="BQ130">
            <v>0</v>
          </cell>
          <cell r="BR130">
            <v>0</v>
          </cell>
          <cell r="BS130" t="str">
            <v>nd</v>
          </cell>
          <cell r="BT130">
            <v>5.4</v>
          </cell>
          <cell r="BU130">
            <v>72.3</v>
          </cell>
          <cell r="BV130">
            <v>22</v>
          </cell>
          <cell r="BW130">
            <v>0</v>
          </cell>
          <cell r="BX130">
            <v>0</v>
          </cell>
          <cell r="BY130">
            <v>0</v>
          </cell>
          <cell r="BZ130">
            <v>0</v>
          </cell>
          <cell r="CA130">
            <v>0</v>
          </cell>
          <cell r="CB130">
            <v>100</v>
          </cell>
          <cell r="CC130">
            <v>8.6999999999999993</v>
          </cell>
          <cell r="CD130">
            <v>17.399999999999999</v>
          </cell>
          <cell r="CE130" t="str">
            <v>nd</v>
          </cell>
          <cell r="CF130">
            <v>1.6</v>
          </cell>
          <cell r="CG130" t="str">
            <v>nd</v>
          </cell>
          <cell r="CH130">
            <v>20.3</v>
          </cell>
          <cell r="CI130">
            <v>7.3999999999999995</v>
          </cell>
          <cell r="CJ130">
            <v>60.099999999999994</v>
          </cell>
          <cell r="CK130">
            <v>46.9</v>
          </cell>
          <cell r="CL130">
            <v>10.9</v>
          </cell>
          <cell r="CM130" t="str">
            <v>nd</v>
          </cell>
          <cell r="CN130" t="str">
            <v>nd</v>
          </cell>
          <cell r="CO130">
            <v>48.3</v>
          </cell>
          <cell r="CP130">
            <v>18.3</v>
          </cell>
          <cell r="CQ130">
            <v>35.4</v>
          </cell>
          <cell r="CR130">
            <v>18.3</v>
          </cell>
          <cell r="CS130">
            <v>28.000000000000004</v>
          </cell>
          <cell r="CT130">
            <v>16.600000000000001</v>
          </cell>
          <cell r="CU130">
            <v>83.399999999999991</v>
          </cell>
          <cell r="CV130">
            <v>8.3000000000000007</v>
          </cell>
          <cell r="CW130">
            <v>91.7</v>
          </cell>
          <cell r="CX130">
            <v>23.1</v>
          </cell>
          <cell r="CY130">
            <v>34.300000000000004</v>
          </cell>
          <cell r="CZ130">
            <v>42.6</v>
          </cell>
          <cell r="DA130">
            <v>20.3</v>
          </cell>
          <cell r="DB130" t="str">
            <v>nd</v>
          </cell>
          <cell r="DC130">
            <v>15.6</v>
          </cell>
          <cell r="DD130" t="str">
            <v>nd</v>
          </cell>
          <cell r="DE130">
            <v>59.4</v>
          </cell>
          <cell r="DF130">
            <v>11</v>
          </cell>
          <cell r="DG130">
            <v>7.0000000000000009</v>
          </cell>
          <cell r="DH130">
            <v>7.5</v>
          </cell>
          <cell r="DI130">
            <v>15.7</v>
          </cell>
          <cell r="DJ130">
            <v>38.1</v>
          </cell>
          <cell r="DK130">
            <v>20.599999999999998</v>
          </cell>
          <cell r="DL130">
            <v>14.499999999999998</v>
          </cell>
          <cell r="DM130">
            <v>61.5</v>
          </cell>
          <cell r="DN130">
            <v>3</v>
          </cell>
          <cell r="DO130">
            <v>15</v>
          </cell>
          <cell r="DP130">
            <v>7.5</v>
          </cell>
          <cell r="DQ130">
            <v>1.6</v>
          </cell>
          <cell r="DR130">
            <v>22.2</v>
          </cell>
          <cell r="DS130">
            <v>19.3</v>
          </cell>
          <cell r="DT130">
            <v>10</v>
          </cell>
          <cell r="DU130">
            <v>0</v>
          </cell>
          <cell r="DV130">
            <v>0</v>
          </cell>
          <cell r="DW130">
            <v>0</v>
          </cell>
          <cell r="DX130">
            <v>0</v>
          </cell>
          <cell r="DY130">
            <v>0</v>
          </cell>
          <cell r="DZ130">
            <v>1.3050200000000001</v>
          </cell>
          <cell r="EA130">
            <v>5.7852500000000004</v>
          </cell>
          <cell r="EB130" t="str">
            <v>nd</v>
          </cell>
          <cell r="EC130" t="str">
            <v>nd</v>
          </cell>
          <cell r="ED130">
            <v>0</v>
          </cell>
          <cell r="EE130" t="str">
            <v>nd</v>
          </cell>
          <cell r="EF130">
            <v>17.6349743</v>
          </cell>
          <cell r="EG130">
            <v>16.681868599999998</v>
          </cell>
          <cell r="EH130">
            <v>6.0710499999999996</v>
          </cell>
          <cell r="EI130">
            <v>1.98874</v>
          </cell>
          <cell r="EJ130" t="str">
            <v>nd</v>
          </cell>
          <cell r="EK130">
            <v>1.45886</v>
          </cell>
          <cell r="EL130">
            <v>21.331754799999999</v>
          </cell>
          <cell r="EM130">
            <v>6.1787599999999996</v>
          </cell>
          <cell r="EN130">
            <v>6.109</v>
          </cell>
          <cell r="EO130">
            <v>0.98197999999999996</v>
          </cell>
          <cell r="EP130">
            <v>2.24187</v>
          </cell>
          <cell r="EQ130">
            <v>1.49674</v>
          </cell>
          <cell r="ER130">
            <v>4.4615299999999998</v>
          </cell>
          <cell r="ES130" t="str">
            <v>nd</v>
          </cell>
          <cell r="ET130">
            <v>0</v>
          </cell>
          <cell r="EU130">
            <v>0</v>
          </cell>
          <cell r="EV130" t="str">
            <v>nd</v>
          </cell>
          <cell r="EW130">
            <v>0</v>
          </cell>
          <cell r="EX130">
            <v>0</v>
          </cell>
          <cell r="EY130">
            <v>0</v>
          </cell>
          <cell r="EZ130">
            <v>0</v>
          </cell>
          <cell r="FA130">
            <v>0</v>
          </cell>
          <cell r="FB130">
            <v>0</v>
          </cell>
          <cell r="FC130">
            <v>0</v>
          </cell>
          <cell r="FD130" t="str">
            <v>nd</v>
          </cell>
          <cell r="FE130" t="str">
            <v>nd</v>
          </cell>
          <cell r="FF130">
            <v>6.5585515000000001</v>
          </cell>
          <cell r="FG130">
            <v>1.3017300000000001</v>
          </cell>
          <cell r="FH130">
            <v>1.29793</v>
          </cell>
          <cell r="FI130" t="str">
            <v>nd</v>
          </cell>
          <cell r="FJ130">
            <v>4.1766300000000003</v>
          </cell>
          <cell r="FK130">
            <v>3.8506</v>
          </cell>
          <cell r="FL130">
            <v>14.9983687</v>
          </cell>
          <cell r="FM130">
            <v>17.0154301</v>
          </cell>
          <cell r="FN130">
            <v>3.2935699999999999</v>
          </cell>
          <cell r="FO130" t="str">
            <v>nd</v>
          </cell>
          <cell r="FP130">
            <v>2.1896300000000002</v>
          </cell>
          <cell r="FQ130">
            <v>8.3231719999999996</v>
          </cell>
          <cell r="FR130">
            <v>8.5730391000000008</v>
          </cell>
          <cell r="FS130">
            <v>7.1658295000000001</v>
          </cell>
          <cell r="FT130">
            <v>11.4401735</v>
          </cell>
          <cell r="FU130">
            <v>0</v>
          </cell>
          <cell r="FV130">
            <v>0</v>
          </cell>
          <cell r="FW130" t="str">
            <v>nd</v>
          </cell>
          <cell r="FX130">
            <v>0.46983800000000003</v>
          </cell>
          <cell r="FY130">
            <v>2.9077599999999997</v>
          </cell>
          <cell r="FZ130">
            <v>2.1651400000000001</v>
          </cell>
          <cell r="GA130">
            <v>0</v>
          </cell>
          <cell r="GB130">
            <v>0</v>
          </cell>
          <cell r="GC130">
            <v>0</v>
          </cell>
          <cell r="GD130">
            <v>0</v>
          </cell>
          <cell r="GE130">
            <v>0</v>
          </cell>
          <cell r="GF130">
            <v>0</v>
          </cell>
          <cell r="GG130" t="str">
            <v>nd</v>
          </cell>
          <cell r="GH130" t="str">
            <v>nd</v>
          </cell>
          <cell r="GI130">
            <v>1.9536600000000002</v>
          </cell>
          <cell r="GJ130">
            <v>1.39842</v>
          </cell>
          <cell r="GK130">
            <v>6.7956642999999994</v>
          </cell>
          <cell r="GL130" t="str">
            <v>nd</v>
          </cell>
          <cell r="GM130" t="str">
            <v>nd</v>
          </cell>
          <cell r="GN130">
            <v>0.98920999999999992</v>
          </cell>
          <cell r="GO130">
            <v>2.0171899999999998</v>
          </cell>
          <cell r="GP130">
            <v>23.811141799999998</v>
          </cell>
          <cell r="GQ130">
            <v>17.698633900000001</v>
          </cell>
          <cell r="GR130">
            <v>0</v>
          </cell>
          <cell r="GS130">
            <v>0</v>
          </cell>
          <cell r="GT130">
            <v>2.05247</v>
          </cell>
          <cell r="GU130">
            <v>0</v>
          </cell>
          <cell r="GV130">
            <v>18.1928819</v>
          </cell>
          <cell r="GW130">
            <v>17.640625500000002</v>
          </cell>
          <cell r="GX130">
            <v>0</v>
          </cell>
          <cell r="GY130">
            <v>0</v>
          </cell>
          <cell r="GZ130">
            <v>0</v>
          </cell>
          <cell r="HA130">
            <v>0</v>
          </cell>
          <cell r="HB130">
            <v>1.6392500000000001</v>
          </cell>
          <cell r="HC130">
            <v>4.2012</v>
          </cell>
          <cell r="HD130">
            <v>0</v>
          </cell>
          <cell r="HE130">
            <v>0</v>
          </cell>
          <cell r="HF130">
            <v>0</v>
          </cell>
          <cell r="HG130">
            <v>0</v>
          </cell>
          <cell r="HH130">
            <v>0</v>
          </cell>
          <cell r="HI130">
            <v>0</v>
          </cell>
          <cell r="HJ130">
            <v>0</v>
          </cell>
          <cell r="HK130">
            <v>0</v>
          </cell>
          <cell r="HL130" t="str">
            <v>nd</v>
          </cell>
          <cell r="HM130">
            <v>5.9340200000000003</v>
          </cell>
          <cell r="HN130">
            <v>1.3130599999999999</v>
          </cell>
          <cell r="HO130">
            <v>0</v>
          </cell>
          <cell r="HP130">
            <v>0</v>
          </cell>
          <cell r="HQ130" t="str">
            <v>nd</v>
          </cell>
          <cell r="HR130">
            <v>1.5509600000000001</v>
          </cell>
          <cell r="HS130">
            <v>39.1818575</v>
          </cell>
          <cell r="HT130">
            <v>3.41269</v>
          </cell>
          <cell r="HU130">
            <v>0</v>
          </cell>
          <cell r="HV130">
            <v>0</v>
          </cell>
          <cell r="HW130">
            <v>0</v>
          </cell>
          <cell r="HX130">
            <v>0</v>
          </cell>
          <cell r="HY130">
            <v>33.7302173</v>
          </cell>
          <cell r="HZ130">
            <v>4.5637699999999999</v>
          </cell>
          <cell r="IA130">
            <v>0</v>
          </cell>
          <cell r="IB130">
            <v>0</v>
          </cell>
          <cell r="IC130" t="str">
            <v>nd</v>
          </cell>
          <cell r="ID130" t="str">
            <v>nd</v>
          </cell>
          <cell r="IE130">
            <v>3.3443199999999997</v>
          </cell>
          <cell r="IF130">
            <v>1.7388299999999999</v>
          </cell>
          <cell r="IG130">
            <v>0</v>
          </cell>
          <cell r="IH130">
            <v>0</v>
          </cell>
          <cell r="II130">
            <v>0</v>
          </cell>
          <cell r="IJ130">
            <v>0</v>
          </cell>
          <cell r="IK130">
            <v>0</v>
          </cell>
          <cell r="IL130">
            <v>0</v>
          </cell>
          <cell r="IM130">
            <v>0</v>
          </cell>
          <cell r="IN130">
            <v>0</v>
          </cell>
          <cell r="IO130">
            <v>1.0421499999999999</v>
          </cell>
          <cell r="IP130">
            <v>8.6415360000000003</v>
          </cell>
          <cell r="IQ130">
            <v>1.46048</v>
          </cell>
          <cell r="IR130">
            <v>0</v>
          </cell>
          <cell r="IS130">
            <v>0</v>
          </cell>
          <cell r="IT130" t="str">
            <v>nd</v>
          </cell>
          <cell r="IU130">
            <v>2.7890600000000001</v>
          </cell>
          <cell r="IV130">
            <v>33.496358499999999</v>
          </cell>
          <cell r="IW130">
            <v>7.9540624000000006</v>
          </cell>
          <cell r="IX130">
            <v>0</v>
          </cell>
          <cell r="IY130">
            <v>0</v>
          </cell>
          <cell r="IZ130">
            <v>0</v>
          </cell>
          <cell r="JA130">
            <v>1.3621400000000001</v>
          </cell>
          <cell r="JB130">
            <v>27.407935500000001</v>
          </cell>
          <cell r="JC130">
            <v>9.7169002000000013</v>
          </cell>
          <cell r="JD130">
            <v>0</v>
          </cell>
          <cell r="JE130">
            <v>0</v>
          </cell>
          <cell r="JF130">
            <v>0</v>
          </cell>
          <cell r="JG130" t="str">
            <v>nd</v>
          </cell>
          <cell r="JH130">
            <v>2.7151299999999998</v>
          </cell>
          <cell r="JI130">
            <v>2.89073</v>
          </cell>
          <cell r="JJ130">
            <v>0</v>
          </cell>
          <cell r="JK130">
            <v>0</v>
          </cell>
          <cell r="JL130">
            <v>0</v>
          </cell>
          <cell r="JM130">
            <v>0</v>
          </cell>
          <cell r="JN130">
            <v>0</v>
          </cell>
          <cell r="JO130">
            <v>0</v>
          </cell>
          <cell r="JP130">
            <v>0</v>
          </cell>
          <cell r="JQ130">
            <v>0</v>
          </cell>
          <cell r="JR130">
            <v>0</v>
          </cell>
          <cell r="JS130">
            <v>0</v>
          </cell>
          <cell r="JT130">
            <v>11.168336199999999</v>
          </cell>
          <cell r="JU130">
            <v>0</v>
          </cell>
          <cell r="JV130">
            <v>0</v>
          </cell>
          <cell r="JW130">
            <v>0</v>
          </cell>
          <cell r="JX130">
            <v>0</v>
          </cell>
          <cell r="JY130">
            <v>0</v>
          </cell>
          <cell r="JZ130">
            <v>44.313317699999999</v>
          </cell>
          <cell r="KA130">
            <v>0</v>
          </cell>
          <cell r="KB130">
            <v>0</v>
          </cell>
          <cell r="KC130">
            <v>0</v>
          </cell>
          <cell r="KD130">
            <v>0</v>
          </cell>
          <cell r="KE130">
            <v>0</v>
          </cell>
          <cell r="KF130">
            <v>38.768515199999996</v>
          </cell>
          <cell r="KG130">
            <v>0</v>
          </cell>
          <cell r="KH130">
            <v>0</v>
          </cell>
          <cell r="KI130">
            <v>0</v>
          </cell>
          <cell r="KJ130">
            <v>0</v>
          </cell>
          <cell r="KK130">
            <v>0</v>
          </cell>
          <cell r="KL130">
            <v>5.7498300000000002</v>
          </cell>
          <cell r="KM130">
            <v>64.8</v>
          </cell>
          <cell r="KN130">
            <v>17.899999999999999</v>
          </cell>
          <cell r="KO130">
            <v>5.5</v>
          </cell>
          <cell r="KP130">
            <v>6.7</v>
          </cell>
          <cell r="KQ130">
            <v>5.2</v>
          </cell>
          <cell r="KR130">
            <v>0</v>
          </cell>
          <cell r="KS130">
            <v>62.7</v>
          </cell>
          <cell r="KT130">
            <v>19.5</v>
          </cell>
          <cell r="KU130">
            <v>5.4</v>
          </cell>
          <cell r="KV130">
            <v>7.0000000000000009</v>
          </cell>
          <cell r="KW130">
            <v>5.5</v>
          </cell>
          <cell r="KX130">
            <v>0</v>
          </cell>
          <cell r="KY130"/>
          <cell r="KZ130"/>
          <cell r="LA130"/>
          <cell r="LB130"/>
          <cell r="LC130"/>
          <cell r="LD130"/>
          <cell r="LE130"/>
          <cell r="LF130"/>
          <cell r="LG130"/>
          <cell r="LH130"/>
          <cell r="LI130"/>
          <cell r="LJ130"/>
          <cell r="LK130"/>
          <cell r="LL130"/>
          <cell r="LM130"/>
          <cell r="LN130"/>
          <cell r="LO130"/>
        </row>
        <row r="131">
          <cell r="A131" t="str">
            <v>EnsCL</v>
          </cell>
          <cell r="B131" t="str">
            <v>131</v>
          </cell>
          <cell r="C131" t="str">
            <v>NAF 38</v>
          </cell>
          <cell r="D131" t="str">
            <v>CL</v>
          </cell>
          <cell r="E131" t="str">
            <v/>
          </cell>
          <cell r="F131" t="str">
            <v>nd</v>
          </cell>
          <cell r="G131">
            <v>26.400000000000002</v>
          </cell>
          <cell r="H131">
            <v>58.699999999999996</v>
          </cell>
          <cell r="I131">
            <v>13.3</v>
          </cell>
          <cell r="J131">
            <v>1.4000000000000001</v>
          </cell>
          <cell r="K131">
            <v>70.899999999999991</v>
          </cell>
          <cell r="L131">
            <v>0.5</v>
          </cell>
          <cell r="M131">
            <v>7.1999999999999993</v>
          </cell>
          <cell r="N131">
            <v>21.4</v>
          </cell>
          <cell r="O131">
            <v>37.4</v>
          </cell>
          <cell r="P131">
            <v>35.9</v>
          </cell>
          <cell r="Q131">
            <v>42.699999999999996</v>
          </cell>
          <cell r="R131">
            <v>3.2</v>
          </cell>
          <cell r="S131">
            <v>14.000000000000002</v>
          </cell>
          <cell r="T131">
            <v>58.8</v>
          </cell>
          <cell r="U131" t="str">
            <v>nd</v>
          </cell>
          <cell r="V131">
            <v>7.3999999999999995</v>
          </cell>
          <cell r="W131">
            <v>11.1</v>
          </cell>
          <cell r="X131">
            <v>88.1</v>
          </cell>
          <cell r="Y131">
            <v>0.89999999999999991</v>
          </cell>
          <cell r="Z131">
            <v>2.7</v>
          </cell>
          <cell r="AA131">
            <v>64</v>
          </cell>
          <cell r="AB131">
            <v>19.8</v>
          </cell>
          <cell r="AC131">
            <v>83.8</v>
          </cell>
          <cell r="AD131">
            <v>9</v>
          </cell>
          <cell r="AE131">
            <v>92.7</v>
          </cell>
          <cell r="AF131">
            <v>7.3</v>
          </cell>
          <cell r="AG131">
            <v>74.099999999999994</v>
          </cell>
          <cell r="AH131">
            <v>25.900000000000002</v>
          </cell>
          <cell r="AI131">
            <v>49.9</v>
          </cell>
          <cell r="AJ131">
            <v>0.3</v>
          </cell>
          <cell r="AK131">
            <v>20.5</v>
          </cell>
          <cell r="AL131">
            <v>23.599999999999998</v>
          </cell>
          <cell r="AM131">
            <v>5.6000000000000005</v>
          </cell>
          <cell r="AN131">
            <v>17.899999999999999</v>
          </cell>
          <cell r="AO131">
            <v>2.9000000000000004</v>
          </cell>
          <cell r="AP131">
            <v>8.1</v>
          </cell>
          <cell r="AQ131">
            <v>38</v>
          </cell>
          <cell r="AR131">
            <v>33.1</v>
          </cell>
          <cell r="AS131">
            <v>29.7</v>
          </cell>
          <cell r="AT131">
            <v>34.599999999999994</v>
          </cell>
          <cell r="AU131">
            <v>27.3</v>
          </cell>
          <cell r="AV131">
            <v>3.1</v>
          </cell>
          <cell r="AW131">
            <v>4.1000000000000005</v>
          </cell>
          <cell r="AX131">
            <v>1.2</v>
          </cell>
          <cell r="AY131">
            <v>5.0999999999999996</v>
          </cell>
          <cell r="AZ131">
            <v>5.8999999999999995</v>
          </cell>
          <cell r="BA131">
            <v>24.8</v>
          </cell>
          <cell r="BB131">
            <v>32.300000000000004</v>
          </cell>
          <cell r="BC131">
            <v>23.599999999999998</v>
          </cell>
          <cell r="BD131">
            <v>8.4</v>
          </cell>
          <cell r="BE131">
            <v>0.5</v>
          </cell>
          <cell r="BF131">
            <v>1.0999999999999999</v>
          </cell>
          <cell r="BG131">
            <v>2.1</v>
          </cell>
          <cell r="BH131">
            <v>16.5</v>
          </cell>
          <cell r="BI131">
            <v>65.2</v>
          </cell>
          <cell r="BJ131">
            <v>14.7</v>
          </cell>
          <cell r="BK131">
            <v>0</v>
          </cell>
          <cell r="BL131">
            <v>0</v>
          </cell>
          <cell r="BM131" t="str">
            <v>nd</v>
          </cell>
          <cell r="BN131">
            <v>4.7</v>
          </cell>
          <cell r="BO131">
            <v>92.100000000000009</v>
          </cell>
          <cell r="BP131">
            <v>2.9000000000000004</v>
          </cell>
          <cell r="BQ131">
            <v>0</v>
          </cell>
          <cell r="BR131" t="str">
            <v>nd</v>
          </cell>
          <cell r="BS131">
            <v>0</v>
          </cell>
          <cell r="BT131">
            <v>8.6999999999999993</v>
          </cell>
          <cell r="BU131">
            <v>83.899999999999991</v>
          </cell>
          <cell r="BV131">
            <v>7.1999999999999993</v>
          </cell>
          <cell r="BW131">
            <v>0</v>
          </cell>
          <cell r="BX131">
            <v>0</v>
          </cell>
          <cell r="BY131">
            <v>0</v>
          </cell>
          <cell r="BZ131">
            <v>0</v>
          </cell>
          <cell r="CA131">
            <v>1.5</v>
          </cell>
          <cell r="CB131">
            <v>98.5</v>
          </cell>
          <cell r="CC131">
            <v>5.8999999999999995</v>
          </cell>
          <cell r="CD131">
            <v>25.2</v>
          </cell>
          <cell r="CE131">
            <v>0.4</v>
          </cell>
          <cell r="CF131">
            <v>0.4</v>
          </cell>
          <cell r="CG131">
            <v>0</v>
          </cell>
          <cell r="CH131">
            <v>55.300000000000004</v>
          </cell>
          <cell r="CI131">
            <v>16.2</v>
          </cell>
          <cell r="CJ131">
            <v>40.1</v>
          </cell>
          <cell r="CK131">
            <v>69.3</v>
          </cell>
          <cell r="CL131">
            <v>28.9</v>
          </cell>
          <cell r="CM131">
            <v>0.89999999999999991</v>
          </cell>
          <cell r="CN131">
            <v>0.4</v>
          </cell>
          <cell r="CO131">
            <v>16.900000000000002</v>
          </cell>
          <cell r="CP131">
            <v>9.8000000000000007</v>
          </cell>
          <cell r="CQ131">
            <v>25.4</v>
          </cell>
          <cell r="CR131">
            <v>26.900000000000002</v>
          </cell>
          <cell r="CS131">
            <v>37.9</v>
          </cell>
          <cell r="CT131">
            <v>13.900000000000002</v>
          </cell>
          <cell r="CU131">
            <v>86.1</v>
          </cell>
          <cell r="CV131">
            <v>18</v>
          </cell>
          <cell r="CW131">
            <v>82</v>
          </cell>
          <cell r="CX131">
            <v>18.2</v>
          </cell>
          <cell r="CY131">
            <v>34.599999999999994</v>
          </cell>
          <cell r="CZ131">
            <v>47.099999999999994</v>
          </cell>
          <cell r="DA131">
            <v>48.3</v>
          </cell>
          <cell r="DB131" t="str">
            <v>nd</v>
          </cell>
          <cell r="DC131" t="str">
            <v>nd</v>
          </cell>
          <cell r="DD131">
            <v>0</v>
          </cell>
          <cell r="DE131">
            <v>67.800000000000011</v>
          </cell>
          <cell r="DF131">
            <v>3.1</v>
          </cell>
          <cell r="DG131">
            <v>2.2999999999999998</v>
          </cell>
          <cell r="DH131">
            <v>14.7</v>
          </cell>
          <cell r="DI131">
            <v>19.7</v>
          </cell>
          <cell r="DJ131">
            <v>42.9</v>
          </cell>
          <cell r="DK131">
            <v>17.399999999999999</v>
          </cell>
          <cell r="DL131">
            <v>4.2</v>
          </cell>
          <cell r="DM131">
            <v>48.199999999999996</v>
          </cell>
          <cell r="DN131">
            <v>1.4000000000000001</v>
          </cell>
          <cell r="DO131">
            <v>46</v>
          </cell>
          <cell r="DP131">
            <v>8.4</v>
          </cell>
          <cell r="DQ131">
            <v>24</v>
          </cell>
          <cell r="DR131">
            <v>30.9</v>
          </cell>
          <cell r="DS131">
            <v>30.7</v>
          </cell>
          <cell r="DT131">
            <v>10.100000000000001</v>
          </cell>
          <cell r="DU131">
            <v>0</v>
          </cell>
          <cell r="DV131">
            <v>0</v>
          </cell>
          <cell r="DW131">
            <v>0</v>
          </cell>
          <cell r="DX131">
            <v>0</v>
          </cell>
          <cell r="DY131" t="str">
            <v>nd</v>
          </cell>
          <cell r="DZ131">
            <v>3.7006400000000004</v>
          </cell>
          <cell r="EA131">
            <v>5.8688200000000004</v>
          </cell>
          <cell r="EB131">
            <v>16.490644199999998</v>
          </cell>
          <cell r="EC131">
            <v>0.42605799999999999</v>
          </cell>
          <cell r="ED131">
            <v>0</v>
          </cell>
          <cell r="EE131" t="str">
            <v>nd</v>
          </cell>
          <cell r="EF131">
            <v>15.1251427</v>
          </cell>
          <cell r="EG131">
            <v>26.263247400000001</v>
          </cell>
          <cell r="EH131">
            <v>10.6785911</v>
          </cell>
          <cell r="EI131">
            <v>2.2804100000000003</v>
          </cell>
          <cell r="EJ131">
            <v>3.7182899999999997</v>
          </cell>
          <cell r="EK131">
            <v>0</v>
          </cell>
          <cell r="EL131">
            <v>9.7281575</v>
          </cell>
          <cell r="EM131">
            <v>2.4822600000000001</v>
          </cell>
          <cell r="EN131" t="str">
            <v>nd</v>
          </cell>
          <cell r="EO131" t="str">
            <v>nd</v>
          </cell>
          <cell r="EP131">
            <v>0.42350799999999994</v>
          </cell>
          <cell r="EQ131" t="str">
            <v>nd</v>
          </cell>
          <cell r="ER131">
            <v>1.1254900000000001</v>
          </cell>
          <cell r="ES131">
            <v>0</v>
          </cell>
          <cell r="ET131" t="str">
            <v>nd</v>
          </cell>
          <cell r="EU131">
            <v>0</v>
          </cell>
          <cell r="EV131">
            <v>0</v>
          </cell>
          <cell r="EW131" t="str">
            <v>nd</v>
          </cell>
          <cell r="EX131">
            <v>0</v>
          </cell>
          <cell r="EY131">
            <v>0</v>
          </cell>
          <cell r="EZ131">
            <v>0</v>
          </cell>
          <cell r="FA131">
            <v>0</v>
          </cell>
          <cell r="FB131" t="str">
            <v>nd</v>
          </cell>
          <cell r="FC131" t="str">
            <v>nd</v>
          </cell>
          <cell r="FD131" t="str">
            <v>nd</v>
          </cell>
          <cell r="FE131">
            <v>12.9510299</v>
          </cell>
          <cell r="FF131">
            <v>7.7062818000000002</v>
          </cell>
          <cell r="FG131">
            <v>4.4503500000000003</v>
          </cell>
          <cell r="FH131">
            <v>0.82454000000000005</v>
          </cell>
          <cell r="FI131" t="str">
            <v>nd</v>
          </cell>
          <cell r="FJ131">
            <v>5.5851899999999999</v>
          </cell>
          <cell r="FK131">
            <v>10.681499899999999</v>
          </cell>
          <cell r="FL131">
            <v>18.953212499999999</v>
          </cell>
          <cell r="FM131">
            <v>15.016197500000001</v>
          </cell>
          <cell r="FN131">
            <v>3.8421999999999996</v>
          </cell>
          <cell r="FO131" t="str">
            <v>nd</v>
          </cell>
          <cell r="FP131">
            <v>0</v>
          </cell>
          <cell r="FQ131">
            <v>1.02081</v>
          </cell>
          <cell r="FR131">
            <v>5.4772499999999997</v>
          </cell>
          <cell r="FS131">
            <v>3.4440300000000001</v>
          </cell>
          <cell r="FT131">
            <v>3.0197099999999999</v>
          </cell>
          <cell r="FU131">
            <v>0</v>
          </cell>
          <cell r="FV131">
            <v>0</v>
          </cell>
          <cell r="FW131" t="str">
            <v>nd</v>
          </cell>
          <cell r="FX131" t="str">
            <v>nd</v>
          </cell>
          <cell r="FY131">
            <v>0.68091899999999994</v>
          </cell>
          <cell r="FZ131">
            <v>0.49373500000000003</v>
          </cell>
          <cell r="GA131" t="str">
            <v>nd</v>
          </cell>
          <cell r="GB131">
            <v>0</v>
          </cell>
          <cell r="GC131">
            <v>0</v>
          </cell>
          <cell r="GD131">
            <v>0</v>
          </cell>
          <cell r="GE131">
            <v>0</v>
          </cell>
          <cell r="GF131" t="str">
            <v>nd</v>
          </cell>
          <cell r="GG131">
            <v>0.34205799999999997</v>
          </cell>
          <cell r="GH131" t="str">
            <v>nd</v>
          </cell>
          <cell r="GI131">
            <v>5.7056999999999993</v>
          </cell>
          <cell r="GJ131">
            <v>18.675601700000001</v>
          </cell>
          <cell r="GK131" t="str">
            <v>nd</v>
          </cell>
          <cell r="GL131">
            <v>0</v>
          </cell>
          <cell r="GM131" t="str">
            <v>nd</v>
          </cell>
          <cell r="GN131">
            <v>2.0044</v>
          </cell>
          <cell r="GO131">
            <v>10.5821156</v>
          </cell>
          <cell r="GP131">
            <v>36.582611399999998</v>
          </cell>
          <cell r="GQ131">
            <v>7.1222858999999996</v>
          </cell>
          <cell r="GR131" t="str">
            <v>nd</v>
          </cell>
          <cell r="GS131">
            <v>0</v>
          </cell>
          <cell r="GT131">
            <v>0</v>
          </cell>
          <cell r="GU131" t="str">
            <v>nd</v>
          </cell>
          <cell r="GV131">
            <v>9.0159319</v>
          </cell>
          <cell r="GW131">
            <v>4.04983</v>
          </cell>
          <cell r="GX131">
            <v>0</v>
          </cell>
          <cell r="GY131">
            <v>0</v>
          </cell>
          <cell r="GZ131">
            <v>0</v>
          </cell>
          <cell r="HA131">
            <v>0</v>
          </cell>
          <cell r="HB131">
            <v>0.90965000000000007</v>
          </cell>
          <cell r="HC131">
            <v>0.50903799999999999</v>
          </cell>
          <cell r="HD131">
            <v>0</v>
          </cell>
          <cell r="HE131">
            <v>0</v>
          </cell>
          <cell r="HF131">
            <v>0</v>
          </cell>
          <cell r="HG131">
            <v>0</v>
          </cell>
          <cell r="HH131" t="str">
            <v>nd</v>
          </cell>
          <cell r="HI131">
            <v>0</v>
          </cell>
          <cell r="HJ131">
            <v>0</v>
          </cell>
          <cell r="HK131">
            <v>0</v>
          </cell>
          <cell r="HL131" t="str">
            <v>nd</v>
          </cell>
          <cell r="HM131">
            <v>28.8235536</v>
          </cell>
          <cell r="HN131" t="str">
            <v>nd</v>
          </cell>
          <cell r="HO131">
            <v>0</v>
          </cell>
          <cell r="HP131">
            <v>0</v>
          </cell>
          <cell r="HQ131">
            <v>0</v>
          </cell>
          <cell r="HR131">
            <v>2.7505700000000002</v>
          </cell>
          <cell r="HS131">
            <v>50.004455899999996</v>
          </cell>
          <cell r="HT131">
            <v>1.1335299999999999</v>
          </cell>
          <cell r="HU131">
            <v>0</v>
          </cell>
          <cell r="HV131">
            <v>0</v>
          </cell>
          <cell r="HW131" t="str">
            <v>nd</v>
          </cell>
          <cell r="HX131">
            <v>1.4106099999999999</v>
          </cell>
          <cell r="HY131">
            <v>12.067149500000001</v>
          </cell>
          <cell r="HZ131">
            <v>1.1600200000000001</v>
          </cell>
          <cell r="IA131">
            <v>0</v>
          </cell>
          <cell r="IB131">
            <v>0</v>
          </cell>
          <cell r="IC131">
            <v>0</v>
          </cell>
          <cell r="ID131" t="str">
            <v>nd</v>
          </cell>
          <cell r="IE131">
            <v>1.1665300000000001</v>
          </cell>
          <cell r="IF131">
            <v>0</v>
          </cell>
          <cell r="IG131">
            <v>0</v>
          </cell>
          <cell r="IH131">
            <v>0</v>
          </cell>
          <cell r="II131">
            <v>0</v>
          </cell>
          <cell r="IJ131">
            <v>0</v>
          </cell>
          <cell r="IK131" t="str">
            <v>nd</v>
          </cell>
          <cell r="IL131">
            <v>0</v>
          </cell>
          <cell r="IM131">
            <v>0</v>
          </cell>
          <cell r="IN131">
            <v>0</v>
          </cell>
          <cell r="IO131">
            <v>3.3527399999999998</v>
          </cell>
          <cell r="IP131">
            <v>23.051721799999999</v>
          </cell>
          <cell r="IQ131">
            <v>1.11002</v>
          </cell>
          <cell r="IR131">
            <v>0</v>
          </cell>
          <cell r="IS131">
            <v>0</v>
          </cell>
          <cell r="IT131">
            <v>0</v>
          </cell>
          <cell r="IU131">
            <v>4.14499</v>
          </cell>
          <cell r="IV131">
            <v>49.8182385</v>
          </cell>
          <cell r="IW131">
            <v>3.2255699999999998</v>
          </cell>
          <cell r="IX131">
            <v>0</v>
          </cell>
          <cell r="IY131" t="str">
            <v>nd</v>
          </cell>
          <cell r="IZ131">
            <v>0</v>
          </cell>
          <cell r="JA131" t="str">
            <v>nd</v>
          </cell>
          <cell r="JB131">
            <v>9.628506100000001</v>
          </cell>
          <cell r="JC131">
            <v>2.6</v>
          </cell>
          <cell r="JD131">
            <v>0</v>
          </cell>
          <cell r="JE131">
            <v>0</v>
          </cell>
          <cell r="JF131">
            <v>0</v>
          </cell>
          <cell r="JG131">
            <v>0</v>
          </cell>
          <cell r="JH131">
            <v>1.36961</v>
          </cell>
          <cell r="JI131" t="str">
            <v>nd</v>
          </cell>
          <cell r="JJ131">
            <v>0</v>
          </cell>
          <cell r="JK131">
            <v>0</v>
          </cell>
          <cell r="JL131">
            <v>0</v>
          </cell>
          <cell r="JM131">
            <v>0</v>
          </cell>
          <cell r="JN131" t="str">
            <v>nd</v>
          </cell>
          <cell r="JO131">
            <v>0</v>
          </cell>
          <cell r="JP131">
            <v>0</v>
          </cell>
          <cell r="JQ131">
            <v>0</v>
          </cell>
          <cell r="JR131">
            <v>0</v>
          </cell>
          <cell r="JS131" t="str">
            <v>nd</v>
          </cell>
          <cell r="JT131">
            <v>28.343613600000001</v>
          </cell>
          <cell r="JU131">
            <v>0</v>
          </cell>
          <cell r="JV131">
            <v>0</v>
          </cell>
          <cell r="JW131">
            <v>0</v>
          </cell>
          <cell r="JX131">
            <v>0</v>
          </cell>
          <cell r="JY131" t="str">
            <v>nd</v>
          </cell>
          <cell r="JZ131">
            <v>57.246472699999998</v>
          </cell>
          <cell r="KA131">
            <v>0</v>
          </cell>
          <cell r="KB131">
            <v>0</v>
          </cell>
          <cell r="KC131">
            <v>0</v>
          </cell>
          <cell r="KD131">
            <v>0</v>
          </cell>
          <cell r="KE131">
            <v>0</v>
          </cell>
          <cell r="KF131">
            <v>11.274515300000001</v>
          </cell>
          <cell r="KG131">
            <v>0</v>
          </cell>
          <cell r="KH131">
            <v>0</v>
          </cell>
          <cell r="KI131">
            <v>0</v>
          </cell>
          <cell r="KJ131">
            <v>0</v>
          </cell>
          <cell r="KK131">
            <v>0</v>
          </cell>
          <cell r="KL131">
            <v>1.4216500000000001</v>
          </cell>
          <cell r="KM131">
            <v>56.999999999999993</v>
          </cell>
          <cell r="KN131">
            <v>24.099999999999998</v>
          </cell>
          <cell r="KO131">
            <v>7.9</v>
          </cell>
          <cell r="KP131">
            <v>5.2</v>
          </cell>
          <cell r="KQ131">
            <v>5.7</v>
          </cell>
          <cell r="KR131">
            <v>0.1</v>
          </cell>
          <cell r="KS131">
            <v>53.7</v>
          </cell>
          <cell r="KT131">
            <v>25.3</v>
          </cell>
          <cell r="KU131">
            <v>9.1999999999999993</v>
          </cell>
          <cell r="KV131">
            <v>5.4</v>
          </cell>
          <cell r="KW131">
            <v>6.3</v>
          </cell>
          <cell r="KX131">
            <v>0.1</v>
          </cell>
          <cell r="KY131"/>
          <cell r="KZ131"/>
          <cell r="LA131"/>
          <cell r="LB131"/>
          <cell r="LC131"/>
          <cell r="LD131"/>
          <cell r="LE131"/>
          <cell r="LF131"/>
          <cell r="LG131"/>
          <cell r="LH131"/>
          <cell r="LI131"/>
          <cell r="LJ131"/>
          <cell r="LK131"/>
          <cell r="LL131"/>
          <cell r="LM131"/>
          <cell r="LN131"/>
          <cell r="LO131"/>
        </row>
        <row r="132">
          <cell r="A132" t="str">
            <v>EnsCM</v>
          </cell>
          <cell r="B132" t="str">
            <v>132</v>
          </cell>
          <cell r="C132" t="str">
            <v>NAF 38</v>
          </cell>
          <cell r="D132" t="str">
            <v>CM</v>
          </cell>
          <cell r="E132" t="str">
            <v/>
          </cell>
          <cell r="F132" t="str">
            <v>nd</v>
          </cell>
          <cell r="G132">
            <v>8.9</v>
          </cell>
          <cell r="H132">
            <v>36.4</v>
          </cell>
          <cell r="I132">
            <v>44.5</v>
          </cell>
          <cell r="J132">
            <v>10.100000000000001</v>
          </cell>
          <cell r="K132">
            <v>69.5</v>
          </cell>
          <cell r="L132">
            <v>10</v>
          </cell>
          <cell r="M132">
            <v>7.8</v>
          </cell>
          <cell r="N132">
            <v>12.7</v>
          </cell>
          <cell r="O132">
            <v>33</v>
          </cell>
          <cell r="P132">
            <v>34.5</v>
          </cell>
          <cell r="Q132">
            <v>23.3</v>
          </cell>
          <cell r="R132">
            <v>9.6</v>
          </cell>
          <cell r="S132">
            <v>13.600000000000001</v>
          </cell>
          <cell r="T132">
            <v>37.4</v>
          </cell>
          <cell r="U132">
            <v>9.3000000000000007</v>
          </cell>
          <cell r="V132">
            <v>13.5</v>
          </cell>
          <cell r="W132">
            <v>10.7</v>
          </cell>
          <cell r="X132">
            <v>84.5</v>
          </cell>
          <cell r="Y132">
            <v>4.8</v>
          </cell>
          <cell r="Z132" t="str">
            <v>nd</v>
          </cell>
          <cell r="AA132">
            <v>42.9</v>
          </cell>
          <cell r="AB132">
            <v>9.5</v>
          </cell>
          <cell r="AC132">
            <v>61.9</v>
          </cell>
          <cell r="AD132">
            <v>28.599999999999998</v>
          </cell>
          <cell r="AE132">
            <v>60.5</v>
          </cell>
          <cell r="AF132">
            <v>39.5</v>
          </cell>
          <cell r="AG132">
            <v>58.3</v>
          </cell>
          <cell r="AH132">
            <v>41.699999999999996</v>
          </cell>
          <cell r="AI132">
            <v>49.2</v>
          </cell>
          <cell r="AJ132">
            <v>8.1</v>
          </cell>
          <cell r="AK132">
            <v>4.1000000000000005</v>
          </cell>
          <cell r="AL132">
            <v>33.900000000000006</v>
          </cell>
          <cell r="AM132">
            <v>4.5999999999999996</v>
          </cell>
          <cell r="AN132">
            <v>4.5</v>
          </cell>
          <cell r="AO132">
            <v>1.7999999999999998</v>
          </cell>
          <cell r="AP132">
            <v>14.899999999999999</v>
          </cell>
          <cell r="AQ132">
            <v>67.400000000000006</v>
          </cell>
          <cell r="AR132">
            <v>11.4</v>
          </cell>
          <cell r="AS132">
            <v>58.4</v>
          </cell>
          <cell r="AT132">
            <v>25.5</v>
          </cell>
          <cell r="AU132">
            <v>5.4</v>
          </cell>
          <cell r="AV132">
            <v>5</v>
          </cell>
          <cell r="AW132">
            <v>2.6</v>
          </cell>
          <cell r="AX132">
            <v>3.1</v>
          </cell>
          <cell r="AY132">
            <v>1.9</v>
          </cell>
          <cell r="AZ132">
            <v>7.9</v>
          </cell>
          <cell r="BA132">
            <v>8.2000000000000011</v>
          </cell>
          <cell r="BB132">
            <v>11.1</v>
          </cell>
          <cell r="BC132">
            <v>39</v>
          </cell>
          <cell r="BD132">
            <v>32</v>
          </cell>
          <cell r="BE132" t="str">
            <v>nd</v>
          </cell>
          <cell r="BF132">
            <v>2.7</v>
          </cell>
          <cell r="BG132">
            <v>4.3</v>
          </cell>
          <cell r="BH132">
            <v>6.2</v>
          </cell>
          <cell r="BI132">
            <v>35.699999999999996</v>
          </cell>
          <cell r="BJ132">
            <v>50.8</v>
          </cell>
          <cell r="BK132">
            <v>0</v>
          </cell>
          <cell r="BL132">
            <v>0</v>
          </cell>
          <cell r="BM132" t="str">
            <v>nd</v>
          </cell>
          <cell r="BN132">
            <v>6.6000000000000005</v>
          </cell>
          <cell r="BO132">
            <v>74.599999999999994</v>
          </cell>
          <cell r="BP132">
            <v>17.100000000000001</v>
          </cell>
          <cell r="BQ132">
            <v>0</v>
          </cell>
          <cell r="BR132">
            <v>0</v>
          </cell>
          <cell r="BS132" t="str">
            <v>nd</v>
          </cell>
          <cell r="BT132">
            <v>12.5</v>
          </cell>
          <cell r="BU132">
            <v>60.199999999999996</v>
          </cell>
          <cell r="BV132">
            <v>26.6</v>
          </cell>
          <cell r="BW132">
            <v>0</v>
          </cell>
          <cell r="BX132">
            <v>0</v>
          </cell>
          <cell r="BY132" t="str">
            <v>nd</v>
          </cell>
          <cell r="BZ132">
            <v>0</v>
          </cell>
          <cell r="CA132">
            <v>1.7000000000000002</v>
          </cell>
          <cell r="CB132">
            <v>97.899999999999991</v>
          </cell>
          <cell r="CC132">
            <v>13</v>
          </cell>
          <cell r="CD132">
            <v>17.5</v>
          </cell>
          <cell r="CE132" t="str">
            <v>nd</v>
          </cell>
          <cell r="CF132" t="str">
            <v>nd</v>
          </cell>
          <cell r="CG132">
            <v>0</v>
          </cell>
          <cell r="CH132">
            <v>19</v>
          </cell>
          <cell r="CI132">
            <v>9.6</v>
          </cell>
          <cell r="CJ132">
            <v>64.5</v>
          </cell>
          <cell r="CK132">
            <v>43.4</v>
          </cell>
          <cell r="CL132">
            <v>9.1999999999999993</v>
          </cell>
          <cell r="CM132">
            <v>1</v>
          </cell>
          <cell r="CN132" t="str">
            <v>nd</v>
          </cell>
          <cell r="CO132">
            <v>56.100000000000009</v>
          </cell>
          <cell r="CP132">
            <v>13</v>
          </cell>
          <cell r="CQ132">
            <v>35.199999999999996</v>
          </cell>
          <cell r="CR132">
            <v>14.6</v>
          </cell>
          <cell r="CS132">
            <v>37.200000000000003</v>
          </cell>
          <cell r="CT132">
            <v>11.899999999999999</v>
          </cell>
          <cell r="CU132">
            <v>88.1</v>
          </cell>
          <cell r="CV132">
            <v>18.5</v>
          </cell>
          <cell r="CW132">
            <v>81.5</v>
          </cell>
          <cell r="CX132">
            <v>21.2</v>
          </cell>
          <cell r="CY132">
            <v>26.6</v>
          </cell>
          <cell r="CZ132">
            <v>52.2</v>
          </cell>
          <cell r="DA132">
            <v>30.5</v>
          </cell>
          <cell r="DB132">
            <v>0</v>
          </cell>
          <cell r="DC132" t="str">
            <v>nd</v>
          </cell>
          <cell r="DD132">
            <v>0</v>
          </cell>
          <cell r="DE132">
            <v>82.1</v>
          </cell>
          <cell r="DF132">
            <v>16.600000000000001</v>
          </cell>
          <cell r="DG132">
            <v>11.899999999999999</v>
          </cell>
          <cell r="DH132">
            <v>10</v>
          </cell>
          <cell r="DI132">
            <v>15.4</v>
          </cell>
          <cell r="DJ132">
            <v>21.6</v>
          </cell>
          <cell r="DK132">
            <v>24.5</v>
          </cell>
          <cell r="DL132">
            <v>21.9</v>
          </cell>
          <cell r="DM132">
            <v>45.800000000000004</v>
          </cell>
          <cell r="DN132">
            <v>2.8000000000000003</v>
          </cell>
          <cell r="DO132">
            <v>25.3</v>
          </cell>
          <cell r="DP132">
            <v>10.299999999999999</v>
          </cell>
          <cell r="DQ132" t="str">
            <v>nd</v>
          </cell>
          <cell r="DR132">
            <v>16.3</v>
          </cell>
          <cell r="DS132">
            <v>14.7</v>
          </cell>
          <cell r="DT132">
            <v>14.6</v>
          </cell>
          <cell r="DU132">
            <v>0</v>
          </cell>
          <cell r="DV132">
            <v>0</v>
          </cell>
          <cell r="DW132" t="str">
            <v>nd</v>
          </cell>
          <cell r="DX132">
            <v>0</v>
          </cell>
          <cell r="DY132">
            <v>0</v>
          </cell>
          <cell r="DZ132">
            <v>4.8299399999999997</v>
          </cell>
          <cell r="EA132">
            <v>2.5114800000000002</v>
          </cell>
          <cell r="EB132" t="str">
            <v>nd</v>
          </cell>
          <cell r="EC132" t="str">
            <v>nd</v>
          </cell>
          <cell r="ED132">
            <v>0</v>
          </cell>
          <cell r="EE132">
            <v>0</v>
          </cell>
          <cell r="EF132">
            <v>21.632852199999999</v>
          </cell>
          <cell r="EG132">
            <v>8.9748701000000004</v>
          </cell>
          <cell r="EH132">
            <v>3.03287</v>
          </cell>
          <cell r="EI132">
            <v>0.85296000000000005</v>
          </cell>
          <cell r="EJ132" t="str">
            <v>nd</v>
          </cell>
          <cell r="EK132" t="str">
            <v>nd</v>
          </cell>
          <cell r="EL132">
            <v>25.276512699999998</v>
          </cell>
          <cell r="EM132">
            <v>10.986447400000001</v>
          </cell>
          <cell r="EN132" t="str">
            <v>nd</v>
          </cell>
          <cell r="EO132">
            <v>3.7486199999999998</v>
          </cell>
          <cell r="EP132">
            <v>1.49082</v>
          </cell>
          <cell r="EQ132">
            <v>2.4864899999999999</v>
          </cell>
          <cell r="ER132">
            <v>6.3634697000000005</v>
          </cell>
          <cell r="ES132">
            <v>3.2116800000000003</v>
          </cell>
          <cell r="ET132" t="str">
            <v>nd</v>
          </cell>
          <cell r="EU132">
            <v>0</v>
          </cell>
          <cell r="EV132">
            <v>0</v>
          </cell>
          <cell r="EW132">
            <v>0</v>
          </cell>
          <cell r="EX132">
            <v>0</v>
          </cell>
          <cell r="EY132">
            <v>0</v>
          </cell>
          <cell r="EZ132" t="str">
            <v>nd</v>
          </cell>
          <cell r="FA132">
            <v>0</v>
          </cell>
          <cell r="FB132">
            <v>0</v>
          </cell>
          <cell r="FC132">
            <v>0</v>
          </cell>
          <cell r="FD132">
            <v>0</v>
          </cell>
          <cell r="FE132">
            <v>0</v>
          </cell>
          <cell r="FF132" t="str">
            <v>nd</v>
          </cell>
          <cell r="FG132">
            <v>6.7060933</v>
          </cell>
          <cell r="FH132">
            <v>1.3445199999999999</v>
          </cell>
          <cell r="FI132" t="str">
            <v>nd</v>
          </cell>
          <cell r="FJ132">
            <v>3.3808499999999997</v>
          </cell>
          <cell r="FK132">
            <v>1.8312200000000001</v>
          </cell>
          <cell r="FL132">
            <v>5.26187</v>
          </cell>
          <cell r="FM132">
            <v>16.459168499999997</v>
          </cell>
          <cell r="FN132">
            <v>9.7138792000000009</v>
          </cell>
          <cell r="FO132">
            <v>1.0279500000000001</v>
          </cell>
          <cell r="FP132">
            <v>4.3688500000000001</v>
          </cell>
          <cell r="FQ132">
            <v>4.2598900000000004</v>
          </cell>
          <cell r="FR132">
            <v>4.8754</v>
          </cell>
          <cell r="FS132">
            <v>12.8033921</v>
          </cell>
          <cell r="FT132">
            <v>17.646983299999999</v>
          </cell>
          <cell r="FU132" t="str">
            <v>nd</v>
          </cell>
          <cell r="FV132" t="str">
            <v>nd</v>
          </cell>
          <cell r="FW132" t="str">
            <v>nd</v>
          </cell>
          <cell r="FX132" t="str">
            <v>nd</v>
          </cell>
          <cell r="FY132">
            <v>3.3192499999999998</v>
          </cell>
          <cell r="FZ132">
            <v>3.2287700000000004</v>
          </cell>
          <cell r="GA132">
            <v>0</v>
          </cell>
          <cell r="GB132">
            <v>0</v>
          </cell>
          <cell r="GC132">
            <v>0</v>
          </cell>
          <cell r="GD132" t="str">
            <v>nd</v>
          </cell>
          <cell r="GE132">
            <v>0</v>
          </cell>
          <cell r="GF132" t="str">
            <v>nd</v>
          </cell>
          <cell r="GG132" t="str">
            <v>nd</v>
          </cell>
          <cell r="GH132">
            <v>1.4793700000000001</v>
          </cell>
          <cell r="GI132" t="str">
            <v>nd</v>
          </cell>
          <cell r="GJ132">
            <v>1.8916900000000001</v>
          </cell>
          <cell r="GK132">
            <v>1.772</v>
          </cell>
          <cell r="GL132" t="str">
            <v>nd</v>
          </cell>
          <cell r="GM132" t="str">
            <v>nd</v>
          </cell>
          <cell r="GN132">
            <v>1.7787199999999999</v>
          </cell>
          <cell r="GO132">
            <v>3.0658000000000003</v>
          </cell>
          <cell r="GP132">
            <v>15.855147899999999</v>
          </cell>
          <cell r="GQ132">
            <v>15.4037405</v>
          </cell>
          <cell r="GR132">
            <v>0</v>
          </cell>
          <cell r="GS132">
            <v>0</v>
          </cell>
          <cell r="GT132" t="str">
            <v>nd</v>
          </cell>
          <cell r="GU132">
            <v>0.83096999999999999</v>
          </cell>
          <cell r="GV132">
            <v>14.341510299999999</v>
          </cell>
          <cell r="GW132">
            <v>29.214249899999999</v>
          </cell>
          <cell r="GX132">
            <v>0</v>
          </cell>
          <cell r="GY132">
            <v>0</v>
          </cell>
          <cell r="GZ132">
            <v>0</v>
          </cell>
          <cell r="HA132" t="str">
            <v>nd</v>
          </cell>
          <cell r="HB132">
            <v>3.5562400000000003</v>
          </cell>
          <cell r="HC132">
            <v>4.4636399999999998</v>
          </cell>
          <cell r="HD132">
            <v>0</v>
          </cell>
          <cell r="HE132">
            <v>0</v>
          </cell>
          <cell r="HF132">
            <v>0</v>
          </cell>
          <cell r="HG132">
            <v>0</v>
          </cell>
          <cell r="HH132" t="str">
            <v>nd</v>
          </cell>
          <cell r="HI132">
            <v>0</v>
          </cell>
          <cell r="HJ132">
            <v>0</v>
          </cell>
          <cell r="HK132">
            <v>0</v>
          </cell>
          <cell r="HL132" t="str">
            <v>nd</v>
          </cell>
          <cell r="HM132">
            <v>5.8396499999999998</v>
          </cell>
          <cell r="HN132">
            <v>1.24739</v>
          </cell>
          <cell r="HO132">
            <v>0</v>
          </cell>
          <cell r="HP132">
            <v>0</v>
          </cell>
          <cell r="HQ132" t="str">
            <v>nd</v>
          </cell>
          <cell r="HR132">
            <v>1.96611</v>
          </cell>
          <cell r="HS132">
            <v>29.363098399999998</v>
          </cell>
          <cell r="HT132">
            <v>4.8027800000000003</v>
          </cell>
          <cell r="HU132">
            <v>0</v>
          </cell>
          <cell r="HV132">
            <v>0</v>
          </cell>
          <cell r="HW132">
            <v>0</v>
          </cell>
          <cell r="HX132">
            <v>2.3384100000000001</v>
          </cell>
          <cell r="HY132">
            <v>32.973124300000002</v>
          </cell>
          <cell r="HZ132">
            <v>10.218044900000001</v>
          </cell>
          <cell r="IA132">
            <v>0</v>
          </cell>
          <cell r="IB132">
            <v>0</v>
          </cell>
          <cell r="IC132" t="str">
            <v>nd</v>
          </cell>
          <cell r="ID132" t="str">
            <v>nd</v>
          </cell>
          <cell r="IE132">
            <v>6.4817903999999995</v>
          </cell>
          <cell r="IF132">
            <v>0.713175</v>
          </cell>
          <cell r="IG132">
            <v>0</v>
          </cell>
          <cell r="IH132">
            <v>0</v>
          </cell>
          <cell r="II132">
            <v>0</v>
          </cell>
          <cell r="IJ132" t="str">
            <v>nd</v>
          </cell>
          <cell r="IK132">
            <v>0</v>
          </cell>
          <cell r="IL132">
            <v>0</v>
          </cell>
          <cell r="IM132">
            <v>0</v>
          </cell>
          <cell r="IN132">
            <v>0</v>
          </cell>
          <cell r="IO132" t="str">
            <v>nd</v>
          </cell>
          <cell r="IP132">
            <v>6.1925099999999995</v>
          </cell>
          <cell r="IQ132">
            <v>1.1054299999999999</v>
          </cell>
          <cell r="IR132">
            <v>0</v>
          </cell>
          <cell r="IS132">
            <v>0</v>
          </cell>
          <cell r="IT132" t="str">
            <v>nd</v>
          </cell>
          <cell r="IU132">
            <v>2.6440800000000002</v>
          </cell>
          <cell r="IV132">
            <v>24.083275799999999</v>
          </cell>
          <cell r="IW132">
            <v>9.2095403000000005</v>
          </cell>
          <cell r="IX132">
            <v>0</v>
          </cell>
          <cell r="IY132">
            <v>0</v>
          </cell>
          <cell r="IZ132" t="str">
            <v>nd</v>
          </cell>
          <cell r="JA132">
            <v>6.7028734000000005</v>
          </cell>
          <cell r="JB132">
            <v>25.278129900000003</v>
          </cell>
          <cell r="JC132">
            <v>13.499254199999999</v>
          </cell>
          <cell r="JD132">
            <v>0</v>
          </cell>
          <cell r="JE132">
            <v>0</v>
          </cell>
          <cell r="JF132">
            <v>0</v>
          </cell>
          <cell r="JG132" t="str">
            <v>nd</v>
          </cell>
          <cell r="JH132">
            <v>4.6230399999999996</v>
          </cell>
          <cell r="JI132">
            <v>2.77075</v>
          </cell>
          <cell r="JJ132">
            <v>0</v>
          </cell>
          <cell r="JK132">
            <v>0</v>
          </cell>
          <cell r="JL132">
            <v>0</v>
          </cell>
          <cell r="JM132">
            <v>0</v>
          </cell>
          <cell r="JN132" t="str">
            <v>nd</v>
          </cell>
          <cell r="JO132">
            <v>0</v>
          </cell>
          <cell r="JP132">
            <v>0</v>
          </cell>
          <cell r="JQ132">
            <v>0</v>
          </cell>
          <cell r="JR132">
            <v>0</v>
          </cell>
          <cell r="JS132">
            <v>0</v>
          </cell>
          <cell r="JT132">
            <v>8.2179093999999999</v>
          </cell>
          <cell r="JU132">
            <v>0</v>
          </cell>
          <cell r="JV132">
            <v>0</v>
          </cell>
          <cell r="JW132" t="str">
            <v>nd</v>
          </cell>
          <cell r="JX132">
            <v>0</v>
          </cell>
          <cell r="JY132" t="str">
            <v>nd</v>
          </cell>
          <cell r="JZ132">
            <v>35.360378399999995</v>
          </cell>
          <cell r="KA132">
            <v>0</v>
          </cell>
          <cell r="KB132">
            <v>0</v>
          </cell>
          <cell r="KC132">
            <v>0</v>
          </cell>
          <cell r="KD132">
            <v>0</v>
          </cell>
          <cell r="KE132" t="str">
            <v>nd</v>
          </cell>
          <cell r="KF132">
            <v>45.0946851</v>
          </cell>
          <cell r="KG132">
            <v>0</v>
          </cell>
          <cell r="KH132">
            <v>0</v>
          </cell>
          <cell r="KI132">
            <v>0</v>
          </cell>
          <cell r="KJ132">
            <v>0</v>
          </cell>
          <cell r="KK132" t="str">
            <v>nd</v>
          </cell>
          <cell r="KL132">
            <v>9.170712</v>
          </cell>
          <cell r="KM132">
            <v>70.399999999999991</v>
          </cell>
          <cell r="KN132">
            <v>12.1</v>
          </cell>
          <cell r="KO132">
            <v>5.7</v>
          </cell>
          <cell r="KP132">
            <v>6.1</v>
          </cell>
          <cell r="KQ132">
            <v>5.5</v>
          </cell>
          <cell r="KR132">
            <v>0.3</v>
          </cell>
          <cell r="KS132">
            <v>69.399999999999991</v>
          </cell>
          <cell r="KT132">
            <v>12</v>
          </cell>
          <cell r="KU132">
            <v>5.8000000000000007</v>
          </cell>
          <cell r="KV132">
            <v>6.4</v>
          </cell>
          <cell r="KW132">
            <v>6.2</v>
          </cell>
          <cell r="KX132">
            <v>0.2</v>
          </cell>
          <cell r="KY132"/>
          <cell r="KZ132"/>
          <cell r="LA132"/>
          <cell r="LB132"/>
          <cell r="LC132"/>
          <cell r="LD132"/>
          <cell r="LE132"/>
          <cell r="LF132"/>
          <cell r="LG132"/>
          <cell r="LH132"/>
          <cell r="LI132"/>
          <cell r="LJ132"/>
          <cell r="LK132"/>
          <cell r="LL132"/>
          <cell r="LM132"/>
          <cell r="LN132"/>
          <cell r="LO132"/>
        </row>
        <row r="133">
          <cell r="A133" t="str">
            <v>EnsDZ</v>
          </cell>
          <cell r="B133" t="str">
            <v>133</v>
          </cell>
          <cell r="C133" t="str">
            <v>NAF 38</v>
          </cell>
          <cell r="D133" t="str">
            <v>DZ</v>
          </cell>
          <cell r="E133" t="str">
            <v/>
          </cell>
          <cell r="F133">
            <v>0</v>
          </cell>
          <cell r="G133">
            <v>0</v>
          </cell>
          <cell r="H133">
            <v>63.7</v>
          </cell>
          <cell r="I133">
            <v>36.299999999999997</v>
          </cell>
          <cell r="J133" t="str">
            <v>nd</v>
          </cell>
          <cell r="K133">
            <v>77.2</v>
          </cell>
          <cell r="L133">
            <v>22.3</v>
          </cell>
          <cell r="M133">
            <v>0</v>
          </cell>
          <cell r="N133" t="str">
            <v>nd</v>
          </cell>
          <cell r="O133">
            <v>60.4</v>
          </cell>
          <cell r="P133">
            <v>16.3</v>
          </cell>
          <cell r="Q133" t="str">
            <v>nd</v>
          </cell>
          <cell r="R133" t="str">
            <v>nd</v>
          </cell>
          <cell r="S133">
            <v>0</v>
          </cell>
          <cell r="T133">
            <v>5.5</v>
          </cell>
          <cell r="U133">
            <v>9.6</v>
          </cell>
          <cell r="V133">
            <v>18.899999999999999</v>
          </cell>
          <cell r="W133">
            <v>0</v>
          </cell>
          <cell r="X133">
            <v>99.7</v>
          </cell>
          <cell r="Y133">
            <v>0.3</v>
          </cell>
          <cell r="Z133">
            <v>0</v>
          </cell>
          <cell r="AA133">
            <v>0</v>
          </cell>
          <cell r="AB133">
            <v>0</v>
          </cell>
          <cell r="AC133">
            <v>0</v>
          </cell>
          <cell r="AD133">
            <v>0</v>
          </cell>
          <cell r="AE133">
            <v>8</v>
          </cell>
          <cell r="AF133">
            <v>92</v>
          </cell>
          <cell r="AG133">
            <v>97.5</v>
          </cell>
          <cell r="AH133" t="str">
            <v>nd</v>
          </cell>
          <cell r="AI133">
            <v>0</v>
          </cell>
          <cell r="AJ133">
            <v>0</v>
          </cell>
          <cell r="AK133">
            <v>0</v>
          </cell>
          <cell r="AL133">
            <v>97.5</v>
          </cell>
          <cell r="AM133" t="str">
            <v>nd</v>
          </cell>
          <cell r="AN133">
            <v>0</v>
          </cell>
          <cell r="AO133">
            <v>0</v>
          </cell>
          <cell r="AP133" t="str">
            <v>nd</v>
          </cell>
          <cell r="AQ133">
            <v>11.3</v>
          </cell>
          <cell r="AR133">
            <v>87.5</v>
          </cell>
          <cell r="AS133">
            <v>28.199999999999996</v>
          </cell>
          <cell r="AT133">
            <v>53.2</v>
          </cell>
          <cell r="AU133">
            <v>14.799999999999999</v>
          </cell>
          <cell r="AV133">
            <v>3.5999999999999996</v>
          </cell>
          <cell r="AW133">
            <v>0</v>
          </cell>
          <cell r="AX133">
            <v>0.2</v>
          </cell>
          <cell r="AY133" t="str">
            <v>nd</v>
          </cell>
          <cell r="AZ133">
            <v>18.600000000000001</v>
          </cell>
          <cell r="BA133">
            <v>46.2</v>
          </cell>
          <cell r="BB133" t="str">
            <v>nd</v>
          </cell>
          <cell r="BC133">
            <v>34.1</v>
          </cell>
          <cell r="BD133">
            <v>0.70000000000000007</v>
          </cell>
          <cell r="BE133">
            <v>0</v>
          </cell>
          <cell r="BF133">
            <v>0</v>
          </cell>
          <cell r="BG133">
            <v>0</v>
          </cell>
          <cell r="BH133">
            <v>0</v>
          </cell>
          <cell r="BI133">
            <v>7.9</v>
          </cell>
          <cell r="BJ133">
            <v>92.100000000000009</v>
          </cell>
          <cell r="BK133">
            <v>0</v>
          </cell>
          <cell r="BL133">
            <v>0</v>
          </cell>
          <cell r="BM133">
            <v>0</v>
          </cell>
          <cell r="BN133" t="str">
            <v>nd</v>
          </cell>
          <cell r="BO133">
            <v>97.7</v>
          </cell>
          <cell r="BP133">
            <v>1.9</v>
          </cell>
          <cell r="BQ133">
            <v>0</v>
          </cell>
          <cell r="BR133">
            <v>0</v>
          </cell>
          <cell r="BS133" t="str">
            <v>nd</v>
          </cell>
          <cell r="BT133">
            <v>8</v>
          </cell>
          <cell r="BU133">
            <v>84.899999999999991</v>
          </cell>
          <cell r="BV133">
            <v>6.8000000000000007</v>
          </cell>
          <cell r="BW133">
            <v>0</v>
          </cell>
          <cell r="BX133">
            <v>0</v>
          </cell>
          <cell r="BY133">
            <v>0</v>
          </cell>
          <cell r="BZ133" t="str">
            <v>nd</v>
          </cell>
          <cell r="CA133">
            <v>0</v>
          </cell>
          <cell r="CB133">
            <v>99.9</v>
          </cell>
          <cell r="CC133">
            <v>52.2</v>
          </cell>
          <cell r="CD133">
            <v>1.6</v>
          </cell>
          <cell r="CE133">
            <v>0</v>
          </cell>
          <cell r="CF133">
            <v>0</v>
          </cell>
          <cell r="CG133">
            <v>0</v>
          </cell>
          <cell r="CH133">
            <v>0.8</v>
          </cell>
          <cell r="CI133" t="str">
            <v>nd</v>
          </cell>
          <cell r="CJ133">
            <v>46.1</v>
          </cell>
          <cell r="CK133">
            <v>19.2</v>
          </cell>
          <cell r="CL133">
            <v>4.2</v>
          </cell>
          <cell r="CM133">
            <v>0</v>
          </cell>
          <cell r="CN133">
            <v>0</v>
          </cell>
          <cell r="CO133">
            <v>80.400000000000006</v>
          </cell>
          <cell r="CP133">
            <v>1.6</v>
          </cell>
          <cell r="CQ133">
            <v>61.5</v>
          </cell>
          <cell r="CR133" t="str">
            <v>nd</v>
          </cell>
          <cell r="CS133">
            <v>36.799999999999997</v>
          </cell>
          <cell r="CT133">
            <v>7.9</v>
          </cell>
          <cell r="CU133">
            <v>92.100000000000009</v>
          </cell>
          <cell r="CV133" t="str">
            <v>nd</v>
          </cell>
          <cell r="CW133">
            <v>94.1</v>
          </cell>
          <cell r="CX133">
            <v>4.1000000000000005</v>
          </cell>
          <cell r="CY133">
            <v>1.4000000000000001</v>
          </cell>
          <cell r="CZ133">
            <v>94.5</v>
          </cell>
          <cell r="DA133" t="str">
            <v>nd</v>
          </cell>
          <cell r="DB133" t="str">
            <v>nd</v>
          </cell>
          <cell r="DC133" t="str">
            <v>nd</v>
          </cell>
          <cell r="DD133">
            <v>0</v>
          </cell>
          <cell r="DE133" t="str">
            <v>nd</v>
          </cell>
          <cell r="DF133">
            <v>8</v>
          </cell>
          <cell r="DG133">
            <v>1.9</v>
          </cell>
          <cell r="DH133">
            <v>68.5</v>
          </cell>
          <cell r="DI133">
            <v>14.000000000000002</v>
          </cell>
          <cell r="DJ133">
            <v>7.1</v>
          </cell>
          <cell r="DK133">
            <v>0.6</v>
          </cell>
          <cell r="DL133">
            <v>33.200000000000003</v>
          </cell>
          <cell r="DM133">
            <v>48.699999999999996</v>
          </cell>
          <cell r="DN133">
            <v>7.3</v>
          </cell>
          <cell r="DO133">
            <v>61.3</v>
          </cell>
          <cell r="DP133">
            <v>4.1000000000000005</v>
          </cell>
          <cell r="DQ133">
            <v>11</v>
          </cell>
          <cell r="DR133" t="str">
            <v>nd</v>
          </cell>
          <cell r="DS133">
            <v>18.7</v>
          </cell>
          <cell r="DT133">
            <v>0.6</v>
          </cell>
          <cell r="DU133">
            <v>0</v>
          </cell>
          <cell r="DV133">
            <v>0</v>
          </cell>
          <cell r="DW133">
            <v>0</v>
          </cell>
          <cell r="DX133">
            <v>0</v>
          </cell>
          <cell r="DY133">
            <v>0</v>
          </cell>
          <cell r="DZ133">
            <v>0</v>
          </cell>
          <cell r="EA133">
            <v>0</v>
          </cell>
          <cell r="EB133">
            <v>0</v>
          </cell>
          <cell r="EC133">
            <v>0</v>
          </cell>
          <cell r="ED133">
            <v>0</v>
          </cell>
          <cell r="EE133">
            <v>0</v>
          </cell>
          <cell r="EF133">
            <v>0.448708</v>
          </cell>
          <cell r="EG133">
            <v>52.348993800000002</v>
          </cell>
          <cell r="EH133" t="str">
            <v>nd</v>
          </cell>
          <cell r="EI133" t="str">
            <v>nd</v>
          </cell>
          <cell r="EJ133">
            <v>0</v>
          </cell>
          <cell r="EK133">
            <v>0</v>
          </cell>
          <cell r="EL133">
            <v>27.803571700000003</v>
          </cell>
          <cell r="EM133">
            <v>0.87752999999999992</v>
          </cell>
          <cell r="EN133">
            <v>7.1802943999999993</v>
          </cell>
          <cell r="EO133" t="str">
            <v>nd</v>
          </cell>
          <cell r="EP133">
            <v>0</v>
          </cell>
          <cell r="EQ133" t="str">
            <v>nd</v>
          </cell>
          <cell r="ER133">
            <v>0</v>
          </cell>
          <cell r="ES133">
            <v>0</v>
          </cell>
          <cell r="ET133">
            <v>0</v>
          </cell>
          <cell r="EU133">
            <v>0</v>
          </cell>
          <cell r="EV133">
            <v>0</v>
          </cell>
          <cell r="EW133" t="str">
            <v>nd</v>
          </cell>
          <cell r="EX133">
            <v>0</v>
          </cell>
          <cell r="EY133">
            <v>0</v>
          </cell>
          <cell r="EZ133">
            <v>0</v>
          </cell>
          <cell r="FA133">
            <v>0</v>
          </cell>
          <cell r="FB133">
            <v>0</v>
          </cell>
          <cell r="FC133">
            <v>0</v>
          </cell>
          <cell r="FD133">
            <v>0</v>
          </cell>
          <cell r="FE133">
            <v>0</v>
          </cell>
          <cell r="FF133">
            <v>0</v>
          </cell>
          <cell r="FG133">
            <v>0</v>
          </cell>
          <cell r="FH133">
            <v>0</v>
          </cell>
          <cell r="FI133">
            <v>0</v>
          </cell>
          <cell r="FJ133">
            <v>11.1552711</v>
          </cell>
          <cell r="FK133" t="str">
            <v>nd</v>
          </cell>
          <cell r="FL133">
            <v>0</v>
          </cell>
          <cell r="FM133">
            <v>7.0979070000000002</v>
          </cell>
          <cell r="FN133">
            <v>0</v>
          </cell>
          <cell r="FO133" t="str">
            <v>nd</v>
          </cell>
          <cell r="FP133">
            <v>7.6182100000000004</v>
          </cell>
          <cell r="FQ133">
            <v>0.69328400000000001</v>
          </cell>
          <cell r="FR133" t="str">
            <v>nd</v>
          </cell>
          <cell r="FS133">
            <v>26.971745500000001</v>
          </cell>
          <cell r="FT133">
            <v>0.69473699999999994</v>
          </cell>
          <cell r="FU133" t="str">
            <v>nd</v>
          </cell>
          <cell r="FV133">
            <v>0</v>
          </cell>
          <cell r="FW133">
            <v>0</v>
          </cell>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L133">
            <v>0</v>
          </cell>
          <cell r="GM133">
            <v>0</v>
          </cell>
          <cell r="GN133">
            <v>0</v>
          </cell>
          <cell r="GO133">
            <v>0</v>
          </cell>
          <cell r="GP133" t="str">
            <v>nd</v>
          </cell>
          <cell r="GQ133">
            <v>56.935002499999996</v>
          </cell>
          <cell r="GR133">
            <v>0</v>
          </cell>
          <cell r="GS133">
            <v>0</v>
          </cell>
          <cell r="GT133">
            <v>0</v>
          </cell>
          <cell r="GU133">
            <v>0</v>
          </cell>
          <cell r="GV133">
            <v>1.12114</v>
          </cell>
          <cell r="GW133">
            <v>35.134796200000004</v>
          </cell>
          <cell r="GX133">
            <v>0</v>
          </cell>
          <cell r="GY133">
            <v>0</v>
          </cell>
          <cell r="GZ133">
            <v>0</v>
          </cell>
          <cell r="HA133">
            <v>0</v>
          </cell>
          <cell r="HB133">
            <v>0</v>
          </cell>
          <cell r="HC133" t="str">
            <v>nd</v>
          </cell>
          <cell r="HD133">
            <v>0</v>
          </cell>
          <cell r="HE133">
            <v>0</v>
          </cell>
          <cell r="HF133">
            <v>0</v>
          </cell>
          <cell r="HG133">
            <v>0</v>
          </cell>
          <cell r="HH133">
            <v>0</v>
          </cell>
          <cell r="HI133">
            <v>0</v>
          </cell>
          <cell r="HJ133">
            <v>0</v>
          </cell>
          <cell r="HK133">
            <v>0</v>
          </cell>
          <cell r="HL133">
            <v>0</v>
          </cell>
          <cell r="HM133">
            <v>0</v>
          </cell>
          <cell r="HN133">
            <v>0</v>
          </cell>
          <cell r="HO133">
            <v>0</v>
          </cell>
          <cell r="HP133">
            <v>0</v>
          </cell>
          <cell r="HQ133">
            <v>0</v>
          </cell>
          <cell r="HR133" t="str">
            <v>nd</v>
          </cell>
          <cell r="HS133">
            <v>67.522010499999993</v>
          </cell>
          <cell r="HT133">
            <v>0</v>
          </cell>
          <cell r="HU133">
            <v>0</v>
          </cell>
          <cell r="HV133">
            <v>0</v>
          </cell>
          <cell r="HW133">
            <v>0</v>
          </cell>
          <cell r="HX133" t="str">
            <v>nd</v>
          </cell>
          <cell r="HY133">
            <v>30.289331200000003</v>
          </cell>
          <cell r="HZ133">
            <v>1.72112</v>
          </cell>
          <cell r="IA133">
            <v>0</v>
          </cell>
          <cell r="IB133">
            <v>0</v>
          </cell>
          <cell r="IC133">
            <v>0</v>
          </cell>
          <cell r="ID133">
            <v>0</v>
          </cell>
          <cell r="IE133">
            <v>0</v>
          </cell>
          <cell r="IF133" t="str">
            <v>nd</v>
          </cell>
          <cell r="IG133">
            <v>0</v>
          </cell>
          <cell r="IH133">
            <v>0</v>
          </cell>
          <cell r="II133">
            <v>0</v>
          </cell>
          <cell r="IJ133">
            <v>0</v>
          </cell>
          <cell r="IK133">
            <v>0</v>
          </cell>
          <cell r="IL133">
            <v>0</v>
          </cell>
          <cell r="IM133">
            <v>0</v>
          </cell>
          <cell r="IN133">
            <v>0</v>
          </cell>
          <cell r="IO133">
            <v>0</v>
          </cell>
          <cell r="IP133">
            <v>0</v>
          </cell>
          <cell r="IQ133">
            <v>0</v>
          </cell>
          <cell r="IR133">
            <v>0</v>
          </cell>
          <cell r="IS133">
            <v>0</v>
          </cell>
          <cell r="IT133">
            <v>0</v>
          </cell>
          <cell r="IU133" t="str">
            <v>nd</v>
          </cell>
          <cell r="IV133">
            <v>57.031538699999999</v>
          </cell>
          <cell r="IW133">
            <v>0</v>
          </cell>
          <cell r="IX133">
            <v>0</v>
          </cell>
          <cell r="IY133">
            <v>0</v>
          </cell>
          <cell r="IZ133" t="str">
            <v>nd</v>
          </cell>
          <cell r="JA133">
            <v>1.42682</v>
          </cell>
          <cell r="JB133">
            <v>27.785412700000002</v>
          </cell>
          <cell r="JC133">
            <v>6.759259300000001</v>
          </cell>
          <cell r="JD133">
            <v>0</v>
          </cell>
          <cell r="JE133">
            <v>0</v>
          </cell>
          <cell r="JF133">
            <v>0</v>
          </cell>
          <cell r="JG133">
            <v>0</v>
          </cell>
          <cell r="JH133">
            <v>0</v>
          </cell>
          <cell r="JI133" t="str">
            <v>nd</v>
          </cell>
          <cell r="JJ133">
            <v>0</v>
          </cell>
          <cell r="JK133">
            <v>0</v>
          </cell>
          <cell r="JL133">
            <v>0</v>
          </cell>
          <cell r="JM133">
            <v>0</v>
          </cell>
          <cell r="JN133">
            <v>0</v>
          </cell>
          <cell r="JO133">
            <v>0</v>
          </cell>
          <cell r="JP133">
            <v>0</v>
          </cell>
          <cell r="JQ133">
            <v>0</v>
          </cell>
          <cell r="JR133">
            <v>0</v>
          </cell>
          <cell r="JS133">
            <v>0</v>
          </cell>
          <cell r="JT133">
            <v>0</v>
          </cell>
          <cell r="JU133">
            <v>0</v>
          </cell>
          <cell r="JV133">
            <v>0</v>
          </cell>
          <cell r="JW133">
            <v>0</v>
          </cell>
          <cell r="JX133">
            <v>0</v>
          </cell>
          <cell r="JY133">
            <v>0</v>
          </cell>
          <cell r="JZ133">
            <v>63.680737899999997</v>
          </cell>
          <cell r="KA133">
            <v>0</v>
          </cell>
          <cell r="KB133">
            <v>0</v>
          </cell>
          <cell r="KC133">
            <v>0</v>
          </cell>
          <cell r="KD133" t="str">
            <v>nd</v>
          </cell>
          <cell r="KE133">
            <v>0</v>
          </cell>
          <cell r="KF133">
            <v>36.146245399999998</v>
          </cell>
          <cell r="KG133">
            <v>0</v>
          </cell>
          <cell r="KH133">
            <v>0</v>
          </cell>
          <cell r="KI133">
            <v>0</v>
          </cell>
          <cell r="KJ133">
            <v>0</v>
          </cell>
          <cell r="KK133">
            <v>0</v>
          </cell>
          <cell r="KL133" t="str">
            <v>nd</v>
          </cell>
          <cell r="KM133">
            <v>60.9</v>
          </cell>
          <cell r="KN133">
            <v>28.999999999999996</v>
          </cell>
          <cell r="KO133">
            <v>0.4</v>
          </cell>
          <cell r="KP133">
            <v>4.2</v>
          </cell>
          <cell r="KQ133">
            <v>5.4</v>
          </cell>
          <cell r="KR133">
            <v>0</v>
          </cell>
          <cell r="KS133">
            <v>62.3</v>
          </cell>
          <cell r="KT133">
            <v>26.700000000000003</v>
          </cell>
          <cell r="KU133">
            <v>0.4</v>
          </cell>
          <cell r="KV133">
            <v>4.3999999999999995</v>
          </cell>
          <cell r="KW133">
            <v>6.2</v>
          </cell>
          <cell r="KX133">
            <v>0</v>
          </cell>
          <cell r="KY133"/>
          <cell r="KZ133"/>
          <cell r="LA133"/>
          <cell r="LB133"/>
          <cell r="LC133"/>
          <cell r="LD133"/>
          <cell r="LE133"/>
          <cell r="LF133"/>
          <cell r="LG133"/>
          <cell r="LH133"/>
          <cell r="LI133"/>
          <cell r="LJ133"/>
          <cell r="LK133"/>
          <cell r="LL133"/>
          <cell r="LM133"/>
          <cell r="LN133"/>
          <cell r="LO133"/>
        </row>
        <row r="134">
          <cell r="A134" t="str">
            <v>EnsEZ</v>
          </cell>
          <cell r="B134" t="str">
            <v>134</v>
          </cell>
          <cell r="C134" t="str">
            <v>NAF 38</v>
          </cell>
          <cell r="D134" t="str">
            <v>EZ</v>
          </cell>
          <cell r="E134" t="str">
            <v/>
          </cell>
          <cell r="F134" t="str">
            <v>nd</v>
          </cell>
          <cell r="G134">
            <v>2.6</v>
          </cell>
          <cell r="H134">
            <v>48.699999999999996</v>
          </cell>
          <cell r="I134">
            <v>43.1</v>
          </cell>
          <cell r="J134">
            <v>5.4</v>
          </cell>
          <cell r="K134">
            <v>83.2</v>
          </cell>
          <cell r="L134">
            <v>5.3</v>
          </cell>
          <cell r="M134">
            <v>9.9</v>
          </cell>
          <cell r="N134">
            <v>1.6</v>
          </cell>
          <cell r="O134">
            <v>24.6</v>
          </cell>
          <cell r="P134">
            <v>42.5</v>
          </cell>
          <cell r="Q134">
            <v>12.8</v>
          </cell>
          <cell r="R134">
            <v>24.8</v>
          </cell>
          <cell r="S134">
            <v>7.9</v>
          </cell>
          <cell r="T134">
            <v>43.1</v>
          </cell>
          <cell r="U134">
            <v>9.4</v>
          </cell>
          <cell r="V134">
            <v>18.899999999999999</v>
          </cell>
          <cell r="W134">
            <v>10.8</v>
          </cell>
          <cell r="X134">
            <v>85.9</v>
          </cell>
          <cell r="Y134">
            <v>3.3000000000000003</v>
          </cell>
          <cell r="Z134">
            <v>0</v>
          </cell>
          <cell r="AA134">
            <v>96</v>
          </cell>
          <cell r="AB134">
            <v>0</v>
          </cell>
          <cell r="AC134">
            <v>98</v>
          </cell>
          <cell r="AD134">
            <v>0</v>
          </cell>
          <cell r="AE134">
            <v>42.6</v>
          </cell>
          <cell r="AF134">
            <v>57.4</v>
          </cell>
          <cell r="AG134">
            <v>69.099999999999994</v>
          </cell>
          <cell r="AH134">
            <v>30.9</v>
          </cell>
          <cell r="AI134">
            <v>42.6</v>
          </cell>
          <cell r="AJ134">
            <v>0</v>
          </cell>
          <cell r="AK134" t="str">
            <v>nd</v>
          </cell>
          <cell r="AL134">
            <v>37.4</v>
          </cell>
          <cell r="AM134">
            <v>17.5</v>
          </cell>
          <cell r="AN134" t="str">
            <v>nd</v>
          </cell>
          <cell r="AO134" t="str">
            <v>nd</v>
          </cell>
          <cell r="AP134">
            <v>0</v>
          </cell>
          <cell r="AQ134">
            <v>65.8</v>
          </cell>
          <cell r="AR134">
            <v>28.499999999999996</v>
          </cell>
          <cell r="AS134">
            <v>52.6</v>
          </cell>
          <cell r="AT134">
            <v>38</v>
          </cell>
          <cell r="AU134">
            <v>2.1</v>
          </cell>
          <cell r="AV134" t="str">
            <v>nd</v>
          </cell>
          <cell r="AW134" t="str">
            <v>nd</v>
          </cell>
          <cell r="AX134">
            <v>3.5999999999999996</v>
          </cell>
          <cell r="AY134">
            <v>0</v>
          </cell>
          <cell r="AZ134">
            <v>0</v>
          </cell>
          <cell r="BA134">
            <v>2.1</v>
          </cell>
          <cell r="BB134">
            <v>43</v>
          </cell>
          <cell r="BC134">
            <v>28.599999999999998</v>
          </cell>
          <cell r="BD134">
            <v>26.3</v>
          </cell>
          <cell r="BE134">
            <v>0</v>
          </cell>
          <cell r="BF134">
            <v>0</v>
          </cell>
          <cell r="BG134" t="str">
            <v>nd</v>
          </cell>
          <cell r="BH134" t="str">
            <v>nd</v>
          </cell>
          <cell r="BI134">
            <v>36.4</v>
          </cell>
          <cell r="BJ134">
            <v>62.3</v>
          </cell>
          <cell r="BK134">
            <v>0</v>
          </cell>
          <cell r="BL134">
            <v>0</v>
          </cell>
          <cell r="BM134">
            <v>0</v>
          </cell>
          <cell r="BN134">
            <v>3.4000000000000004</v>
          </cell>
          <cell r="BO134">
            <v>84.399999999999991</v>
          </cell>
          <cell r="BP134">
            <v>12.2</v>
          </cell>
          <cell r="BQ134" t="str">
            <v>nd</v>
          </cell>
          <cell r="BR134" t="str">
            <v>nd</v>
          </cell>
          <cell r="BS134" t="str">
            <v>nd</v>
          </cell>
          <cell r="BT134">
            <v>2.5</v>
          </cell>
          <cell r="BU134">
            <v>84.5</v>
          </cell>
          <cell r="BV134">
            <v>11.5</v>
          </cell>
          <cell r="BW134">
            <v>0</v>
          </cell>
          <cell r="BX134">
            <v>0</v>
          </cell>
          <cell r="BY134">
            <v>0</v>
          </cell>
          <cell r="BZ134">
            <v>0</v>
          </cell>
          <cell r="CA134" t="str">
            <v>nd</v>
          </cell>
          <cell r="CB134">
            <v>99.2</v>
          </cell>
          <cell r="CC134">
            <v>19.8</v>
          </cell>
          <cell r="CD134">
            <v>10.4</v>
          </cell>
          <cell r="CE134">
            <v>0</v>
          </cell>
          <cell r="CF134" t="str">
            <v>nd</v>
          </cell>
          <cell r="CG134">
            <v>0</v>
          </cell>
          <cell r="CH134">
            <v>11</v>
          </cell>
          <cell r="CI134">
            <v>5.4</v>
          </cell>
          <cell r="CJ134">
            <v>66.100000000000009</v>
          </cell>
          <cell r="CK134">
            <v>25.7</v>
          </cell>
          <cell r="CL134">
            <v>5.7</v>
          </cell>
          <cell r="CM134">
            <v>1.9</v>
          </cell>
          <cell r="CN134">
            <v>0</v>
          </cell>
          <cell r="CO134">
            <v>70.199999999999989</v>
          </cell>
          <cell r="CP134">
            <v>8</v>
          </cell>
          <cell r="CQ134">
            <v>22.6</v>
          </cell>
          <cell r="CR134">
            <v>2.8000000000000003</v>
          </cell>
          <cell r="CS134">
            <v>66.600000000000009</v>
          </cell>
          <cell r="CT134">
            <v>5.8000000000000007</v>
          </cell>
          <cell r="CU134">
            <v>94.199999999999989</v>
          </cell>
          <cell r="CV134">
            <v>8.5</v>
          </cell>
          <cell r="CW134">
            <v>91.5</v>
          </cell>
          <cell r="CX134">
            <v>7.6</v>
          </cell>
          <cell r="CY134">
            <v>17.5</v>
          </cell>
          <cell r="CZ134">
            <v>74.8</v>
          </cell>
          <cell r="DA134">
            <v>4.2</v>
          </cell>
          <cell r="DB134">
            <v>0</v>
          </cell>
          <cell r="DC134" t="str">
            <v>nd</v>
          </cell>
          <cell r="DD134" t="str">
            <v>nd</v>
          </cell>
          <cell r="DE134">
            <v>90.3</v>
          </cell>
          <cell r="DF134">
            <v>13.100000000000001</v>
          </cell>
          <cell r="DG134">
            <v>15.8</v>
          </cell>
          <cell r="DH134">
            <v>22</v>
          </cell>
          <cell r="DI134">
            <v>7.1</v>
          </cell>
          <cell r="DJ134">
            <v>26.1</v>
          </cell>
          <cell r="DK134">
            <v>16</v>
          </cell>
          <cell r="DL134">
            <v>14.799999999999999</v>
          </cell>
          <cell r="DM134">
            <v>46</v>
          </cell>
          <cell r="DN134">
            <v>8</v>
          </cell>
          <cell r="DO134">
            <v>19.7</v>
          </cell>
          <cell r="DP134">
            <v>1.2</v>
          </cell>
          <cell r="DQ134" t="str">
            <v>nd</v>
          </cell>
          <cell r="DR134">
            <v>3.6999999999999997</v>
          </cell>
          <cell r="DS134">
            <v>6.1</v>
          </cell>
          <cell r="DT134">
            <v>27.700000000000003</v>
          </cell>
          <cell r="DU134" t="str">
            <v>nd</v>
          </cell>
          <cell r="DV134">
            <v>0</v>
          </cell>
          <cell r="DW134">
            <v>0</v>
          </cell>
          <cell r="DX134">
            <v>0</v>
          </cell>
          <cell r="DY134">
            <v>0</v>
          </cell>
          <cell r="DZ134">
            <v>1.1902599999999999</v>
          </cell>
          <cell r="EA134">
            <v>1.4492400000000001</v>
          </cell>
          <cell r="EB134">
            <v>0</v>
          </cell>
          <cell r="EC134">
            <v>0</v>
          </cell>
          <cell r="ED134">
            <v>0</v>
          </cell>
          <cell r="EE134">
            <v>0</v>
          </cell>
          <cell r="EF134">
            <v>14.804811900000001</v>
          </cell>
          <cell r="EG134">
            <v>29.8830502</v>
          </cell>
          <cell r="EH134" t="str">
            <v>nd</v>
          </cell>
          <cell r="EI134" t="str">
            <v>nd</v>
          </cell>
          <cell r="EJ134" t="str">
            <v>nd</v>
          </cell>
          <cell r="EK134" t="str">
            <v>nd</v>
          </cell>
          <cell r="EL134">
            <v>33.465071099999996</v>
          </cell>
          <cell r="EM134">
            <v>6.6695757999999996</v>
          </cell>
          <cell r="EN134" t="str">
            <v>nd</v>
          </cell>
          <cell r="EO134">
            <v>0</v>
          </cell>
          <cell r="EP134">
            <v>0</v>
          </cell>
          <cell r="EQ134">
            <v>2.5011399999999999</v>
          </cell>
          <cell r="ER134">
            <v>2.8735299999999997</v>
          </cell>
          <cell r="ES134">
            <v>0</v>
          </cell>
          <cell r="ET134" t="str">
            <v>nd</v>
          </cell>
          <cell r="EU134">
            <v>0</v>
          </cell>
          <cell r="EV134" t="str">
            <v>nd</v>
          </cell>
          <cell r="EW134">
            <v>0</v>
          </cell>
          <cell r="EX134">
            <v>0</v>
          </cell>
          <cell r="EY134" t="str">
            <v>nd</v>
          </cell>
          <cell r="EZ134">
            <v>0</v>
          </cell>
          <cell r="FA134">
            <v>0</v>
          </cell>
          <cell r="FB134">
            <v>0</v>
          </cell>
          <cell r="FC134">
            <v>0</v>
          </cell>
          <cell r="FD134">
            <v>0</v>
          </cell>
          <cell r="FE134">
            <v>0</v>
          </cell>
          <cell r="FF134" t="str">
            <v>nd</v>
          </cell>
          <cell r="FG134" t="str">
            <v>nd</v>
          </cell>
          <cell r="FH134">
            <v>1.37279</v>
          </cell>
          <cell r="FI134">
            <v>0</v>
          </cell>
          <cell r="FJ134">
            <v>0</v>
          </cell>
          <cell r="FK134" t="str">
            <v>nd</v>
          </cell>
          <cell r="FL134">
            <v>32.207397499999999</v>
          </cell>
          <cell r="FM134">
            <v>7.9161709</v>
          </cell>
          <cell r="FN134">
            <v>8.7844797000000003</v>
          </cell>
          <cell r="FO134">
            <v>0</v>
          </cell>
          <cell r="FP134">
            <v>0</v>
          </cell>
          <cell r="FQ134" t="str">
            <v>nd</v>
          </cell>
          <cell r="FR134">
            <v>8.8738511000000013</v>
          </cell>
          <cell r="FS134">
            <v>18.0083594</v>
          </cell>
          <cell r="FT134">
            <v>14.544775700000001</v>
          </cell>
          <cell r="FU134">
            <v>0</v>
          </cell>
          <cell r="FV134">
            <v>0</v>
          </cell>
          <cell r="FW134" t="str">
            <v>nd</v>
          </cell>
          <cell r="FX134" t="str">
            <v>nd</v>
          </cell>
          <cell r="FY134" t="str">
            <v>nd</v>
          </cell>
          <cell r="FZ134">
            <v>1.5636500000000002</v>
          </cell>
          <cell r="GA134">
            <v>0</v>
          </cell>
          <cell r="GB134">
            <v>0</v>
          </cell>
          <cell r="GC134">
            <v>0</v>
          </cell>
          <cell r="GD134">
            <v>0</v>
          </cell>
          <cell r="GE134" t="str">
            <v>nd</v>
          </cell>
          <cell r="GF134">
            <v>0</v>
          </cell>
          <cell r="GG134">
            <v>0</v>
          </cell>
          <cell r="GH134" t="str">
            <v>nd</v>
          </cell>
          <cell r="GI134">
            <v>0</v>
          </cell>
          <cell r="GJ134">
            <v>2.2509600000000001</v>
          </cell>
          <cell r="GK134" t="str">
            <v>nd</v>
          </cell>
          <cell r="GL134">
            <v>0</v>
          </cell>
          <cell r="GM134">
            <v>0</v>
          </cell>
          <cell r="GN134" t="str">
            <v>nd</v>
          </cell>
          <cell r="GO134" t="str">
            <v>nd</v>
          </cell>
          <cell r="GP134">
            <v>19.641438600000001</v>
          </cell>
          <cell r="GQ134">
            <v>29.255476299999998</v>
          </cell>
          <cell r="GR134">
            <v>0</v>
          </cell>
          <cell r="GS134">
            <v>0</v>
          </cell>
          <cell r="GT134">
            <v>0</v>
          </cell>
          <cell r="GU134">
            <v>0</v>
          </cell>
          <cell r="GV134">
            <v>13.972940299999999</v>
          </cell>
          <cell r="GW134">
            <v>28.542016999999998</v>
          </cell>
          <cell r="GX134">
            <v>0</v>
          </cell>
          <cell r="GY134">
            <v>0</v>
          </cell>
          <cell r="GZ134">
            <v>0</v>
          </cell>
          <cell r="HA134">
            <v>0</v>
          </cell>
          <cell r="HB134" t="str">
            <v>nd</v>
          </cell>
          <cell r="HC134">
            <v>3.9422699999999997</v>
          </cell>
          <cell r="HD134">
            <v>0</v>
          </cell>
          <cell r="HE134" t="str">
            <v>nd</v>
          </cell>
          <cell r="HF134">
            <v>0</v>
          </cell>
          <cell r="HG134">
            <v>0</v>
          </cell>
          <cell r="HH134">
            <v>0</v>
          </cell>
          <cell r="HI134">
            <v>0</v>
          </cell>
          <cell r="HJ134">
            <v>0</v>
          </cell>
          <cell r="HK134">
            <v>0</v>
          </cell>
          <cell r="HL134">
            <v>0</v>
          </cell>
          <cell r="HM134" t="str">
            <v>nd</v>
          </cell>
          <cell r="HN134">
            <v>2.1161799999999999</v>
          </cell>
          <cell r="HO134">
            <v>0</v>
          </cell>
          <cell r="HP134">
            <v>0</v>
          </cell>
          <cell r="HQ134">
            <v>0</v>
          </cell>
          <cell r="HR134" t="str">
            <v>nd</v>
          </cell>
          <cell r="HS134">
            <v>42.710795099999999</v>
          </cell>
          <cell r="HT134">
            <v>4.5651099999999998</v>
          </cell>
          <cell r="HU134">
            <v>0</v>
          </cell>
          <cell r="HV134">
            <v>0</v>
          </cell>
          <cell r="HW134">
            <v>0</v>
          </cell>
          <cell r="HX134" t="str">
            <v>nd</v>
          </cell>
          <cell r="HY134">
            <v>35.672455900000003</v>
          </cell>
          <cell r="HZ134">
            <v>5.3964100000000004</v>
          </cell>
          <cell r="IA134">
            <v>0</v>
          </cell>
          <cell r="IB134">
            <v>0</v>
          </cell>
          <cell r="IC134">
            <v>0</v>
          </cell>
          <cell r="ID134" t="str">
            <v>nd</v>
          </cell>
          <cell r="IE134">
            <v>5.1377300000000004</v>
          </cell>
          <cell r="IF134" t="str">
            <v>nd</v>
          </cell>
          <cell r="IG134">
            <v>0</v>
          </cell>
          <cell r="IH134" t="str">
            <v>nd</v>
          </cell>
          <cell r="II134">
            <v>0</v>
          </cell>
          <cell r="IJ134">
            <v>0</v>
          </cell>
          <cell r="IK134">
            <v>0</v>
          </cell>
          <cell r="IL134">
            <v>0</v>
          </cell>
          <cell r="IM134">
            <v>0</v>
          </cell>
          <cell r="IN134">
            <v>0</v>
          </cell>
          <cell r="IO134">
            <v>0</v>
          </cell>
          <cell r="IP134">
            <v>0.87647000000000008</v>
          </cell>
          <cell r="IQ134">
            <v>1.9991100000000002</v>
          </cell>
          <cell r="IR134">
            <v>0</v>
          </cell>
          <cell r="IS134">
            <v>0</v>
          </cell>
          <cell r="IT134">
            <v>0</v>
          </cell>
          <cell r="IU134" t="str">
            <v>nd</v>
          </cell>
          <cell r="IV134">
            <v>45.357954100000001</v>
          </cell>
          <cell r="IW134">
            <v>2.97492</v>
          </cell>
          <cell r="IX134" t="str">
            <v>nd</v>
          </cell>
          <cell r="IY134" t="str">
            <v>nd</v>
          </cell>
          <cell r="IZ134" t="str">
            <v>nd</v>
          </cell>
          <cell r="JA134" t="str">
            <v>nd</v>
          </cell>
          <cell r="JB134">
            <v>34.798311099999999</v>
          </cell>
          <cell r="JC134">
            <v>6.4136971000000003</v>
          </cell>
          <cell r="JD134">
            <v>0</v>
          </cell>
          <cell r="JE134">
            <v>0</v>
          </cell>
          <cell r="JF134">
            <v>0</v>
          </cell>
          <cell r="JG134" t="str">
            <v>nd</v>
          </cell>
          <cell r="JH134">
            <v>3.15246</v>
          </cell>
          <cell r="JI134" t="str">
            <v>nd</v>
          </cell>
          <cell r="JJ134">
            <v>0</v>
          </cell>
          <cell r="JK134">
            <v>0</v>
          </cell>
          <cell r="JL134">
            <v>0</v>
          </cell>
          <cell r="JM134">
            <v>0</v>
          </cell>
          <cell r="JN134" t="str">
            <v>nd</v>
          </cell>
          <cell r="JO134">
            <v>0</v>
          </cell>
          <cell r="JP134">
            <v>0</v>
          </cell>
          <cell r="JQ134">
            <v>0</v>
          </cell>
          <cell r="JR134">
            <v>0</v>
          </cell>
          <cell r="JS134">
            <v>0</v>
          </cell>
          <cell r="JT134">
            <v>2.8755800000000002</v>
          </cell>
          <cell r="JU134">
            <v>0</v>
          </cell>
          <cell r="JV134">
            <v>0</v>
          </cell>
          <cell r="JW134">
            <v>0</v>
          </cell>
          <cell r="JX134">
            <v>0</v>
          </cell>
          <cell r="JY134" t="str">
            <v>nd</v>
          </cell>
          <cell r="JZ134">
            <v>49.112577099999996</v>
          </cell>
          <cell r="KA134">
            <v>0</v>
          </cell>
          <cell r="KB134">
            <v>0</v>
          </cell>
          <cell r="KC134">
            <v>0</v>
          </cell>
          <cell r="KD134">
            <v>0</v>
          </cell>
          <cell r="KE134">
            <v>0</v>
          </cell>
          <cell r="KF134">
            <v>43.181917200000001</v>
          </cell>
          <cell r="KG134">
            <v>0</v>
          </cell>
          <cell r="KH134">
            <v>0</v>
          </cell>
          <cell r="KI134">
            <v>0</v>
          </cell>
          <cell r="KJ134">
            <v>0</v>
          </cell>
          <cell r="KK134">
            <v>0</v>
          </cell>
          <cell r="KL134">
            <v>3.7790700000000004</v>
          </cell>
          <cell r="KM134">
            <v>74</v>
          </cell>
          <cell r="KN134">
            <v>11.1</v>
          </cell>
          <cell r="KO134">
            <v>2.2999999999999998</v>
          </cell>
          <cell r="KP134">
            <v>6.4</v>
          </cell>
          <cell r="KQ134">
            <v>6.2</v>
          </cell>
          <cell r="KR134">
            <v>0</v>
          </cell>
          <cell r="KS134">
            <v>71.2</v>
          </cell>
          <cell r="KT134">
            <v>14.000000000000002</v>
          </cell>
          <cell r="KU134">
            <v>2.1</v>
          </cell>
          <cell r="KV134">
            <v>6.5</v>
          </cell>
          <cell r="KW134">
            <v>6.1</v>
          </cell>
          <cell r="KX134">
            <v>0</v>
          </cell>
          <cell r="KY134"/>
          <cell r="KZ134"/>
          <cell r="LA134"/>
          <cell r="LB134"/>
          <cell r="LC134"/>
          <cell r="LD134"/>
          <cell r="LE134"/>
          <cell r="LF134"/>
          <cell r="LG134"/>
          <cell r="LH134"/>
          <cell r="LI134"/>
          <cell r="LJ134"/>
          <cell r="LK134"/>
          <cell r="LL134"/>
          <cell r="LM134"/>
          <cell r="LN134"/>
          <cell r="LO134"/>
        </row>
        <row r="135">
          <cell r="A135" t="str">
            <v>EnsFZ</v>
          </cell>
          <cell r="B135" t="str">
            <v>135</v>
          </cell>
          <cell r="C135" t="str">
            <v>NAF 38</v>
          </cell>
          <cell r="D135" t="str">
            <v>FZ</v>
          </cell>
          <cell r="E135" t="str">
            <v/>
          </cell>
          <cell r="F135">
            <v>0.4</v>
          </cell>
          <cell r="G135">
            <v>6</v>
          </cell>
          <cell r="H135">
            <v>27.700000000000003</v>
          </cell>
          <cell r="I135">
            <v>49.9</v>
          </cell>
          <cell r="J135">
            <v>16</v>
          </cell>
          <cell r="K135">
            <v>54.900000000000006</v>
          </cell>
          <cell r="L135">
            <v>16.3</v>
          </cell>
          <cell r="M135">
            <v>19.3</v>
          </cell>
          <cell r="N135">
            <v>9.5</v>
          </cell>
          <cell r="O135">
            <v>25.8</v>
          </cell>
          <cell r="P135">
            <v>27.1</v>
          </cell>
          <cell r="Q135">
            <v>23.200000000000003</v>
          </cell>
          <cell r="R135">
            <v>8.2000000000000011</v>
          </cell>
          <cell r="S135">
            <v>14.899999999999999</v>
          </cell>
          <cell r="T135">
            <v>24</v>
          </cell>
          <cell r="U135">
            <v>5.7</v>
          </cell>
          <cell r="V135">
            <v>22</v>
          </cell>
          <cell r="W135">
            <v>9.8000000000000007</v>
          </cell>
          <cell r="X135">
            <v>84.399999999999991</v>
          </cell>
          <cell r="Y135">
            <v>5.8000000000000007</v>
          </cell>
          <cell r="Z135">
            <v>9.5</v>
          </cell>
          <cell r="AA135">
            <v>49.5</v>
          </cell>
          <cell r="AB135">
            <v>5.3</v>
          </cell>
          <cell r="AC135">
            <v>49.5</v>
          </cell>
          <cell r="AD135">
            <v>35.799999999999997</v>
          </cell>
          <cell r="AE135">
            <v>52</v>
          </cell>
          <cell r="AF135">
            <v>48</v>
          </cell>
          <cell r="AG135">
            <v>76.2</v>
          </cell>
          <cell r="AH135">
            <v>23.799999999999997</v>
          </cell>
          <cell r="AI135">
            <v>27.3</v>
          </cell>
          <cell r="AJ135">
            <v>6</v>
          </cell>
          <cell r="AK135">
            <v>6</v>
          </cell>
          <cell r="AL135">
            <v>48.199999999999996</v>
          </cell>
          <cell r="AM135">
            <v>12.6</v>
          </cell>
          <cell r="AN135">
            <v>1.7000000000000002</v>
          </cell>
          <cell r="AO135">
            <v>2.5</v>
          </cell>
          <cell r="AP135">
            <v>2.9000000000000004</v>
          </cell>
          <cell r="AQ135">
            <v>77.5</v>
          </cell>
          <cell r="AR135">
            <v>15.299999999999999</v>
          </cell>
          <cell r="AS135">
            <v>84.8</v>
          </cell>
          <cell r="AT135">
            <v>9.1</v>
          </cell>
          <cell r="AU135">
            <v>2.6</v>
          </cell>
          <cell r="AV135">
            <v>0.89999999999999991</v>
          </cell>
          <cell r="AW135">
            <v>1.0999999999999999</v>
          </cell>
          <cell r="AX135">
            <v>1.5</v>
          </cell>
          <cell r="AY135">
            <v>0.89999999999999991</v>
          </cell>
          <cell r="AZ135">
            <v>0.6</v>
          </cell>
          <cell r="BA135">
            <v>1.4000000000000001</v>
          </cell>
          <cell r="BB135">
            <v>8.5</v>
          </cell>
          <cell r="BC135">
            <v>33.200000000000003</v>
          </cell>
          <cell r="BD135">
            <v>55.400000000000006</v>
          </cell>
          <cell r="BE135">
            <v>0.6</v>
          </cell>
          <cell r="BF135" t="str">
            <v>nd</v>
          </cell>
          <cell r="BG135">
            <v>0.70000000000000007</v>
          </cell>
          <cell r="BH135">
            <v>3.5000000000000004</v>
          </cell>
          <cell r="BI135">
            <v>33.4</v>
          </cell>
          <cell r="BJ135">
            <v>61.8</v>
          </cell>
          <cell r="BK135" t="str">
            <v>nd</v>
          </cell>
          <cell r="BL135">
            <v>0</v>
          </cell>
          <cell r="BM135" t="str">
            <v>nd</v>
          </cell>
          <cell r="BN135">
            <v>3</v>
          </cell>
          <cell r="BO135">
            <v>66.7</v>
          </cell>
          <cell r="BP135">
            <v>29.9</v>
          </cell>
          <cell r="BQ135">
            <v>0</v>
          </cell>
          <cell r="BR135" t="str">
            <v>nd</v>
          </cell>
          <cell r="BS135" t="str">
            <v>nd</v>
          </cell>
          <cell r="BT135">
            <v>1.9</v>
          </cell>
          <cell r="BU135">
            <v>44.1</v>
          </cell>
          <cell r="BV135">
            <v>53.400000000000006</v>
          </cell>
          <cell r="BW135">
            <v>0</v>
          </cell>
          <cell r="BX135">
            <v>0</v>
          </cell>
          <cell r="BY135">
            <v>0</v>
          </cell>
          <cell r="BZ135" t="str">
            <v>nd</v>
          </cell>
          <cell r="CA135">
            <v>0.8</v>
          </cell>
          <cell r="CB135">
            <v>99</v>
          </cell>
          <cell r="CC135">
            <v>6.1</v>
          </cell>
          <cell r="CD135">
            <v>11.700000000000001</v>
          </cell>
          <cell r="CE135">
            <v>3.9</v>
          </cell>
          <cell r="CF135">
            <v>5.3</v>
          </cell>
          <cell r="CG135">
            <v>0.5</v>
          </cell>
          <cell r="CH135">
            <v>19.900000000000002</v>
          </cell>
          <cell r="CI135">
            <v>8.2000000000000011</v>
          </cell>
          <cell r="CJ135">
            <v>70.099999999999994</v>
          </cell>
          <cell r="CK135">
            <v>42.4</v>
          </cell>
          <cell r="CL135">
            <v>6.4</v>
          </cell>
          <cell r="CM135">
            <v>2.6</v>
          </cell>
          <cell r="CN135">
            <v>0.70000000000000007</v>
          </cell>
          <cell r="CO135">
            <v>56.399999999999991</v>
          </cell>
          <cell r="CP135">
            <v>7.1</v>
          </cell>
          <cell r="CQ135">
            <v>37.299999999999997</v>
          </cell>
          <cell r="CR135">
            <v>28.999999999999996</v>
          </cell>
          <cell r="CS135">
            <v>26.5</v>
          </cell>
          <cell r="CT135">
            <v>6.5</v>
          </cell>
          <cell r="CU135">
            <v>93.5</v>
          </cell>
          <cell r="CV135">
            <v>6.8000000000000007</v>
          </cell>
          <cell r="CW135">
            <v>93.2</v>
          </cell>
          <cell r="CX135">
            <v>10.100000000000001</v>
          </cell>
          <cell r="CY135">
            <v>26.900000000000002</v>
          </cell>
          <cell r="CZ135">
            <v>63</v>
          </cell>
          <cell r="DA135">
            <v>16.7</v>
          </cell>
          <cell r="DB135">
            <v>0</v>
          </cell>
          <cell r="DC135">
            <v>4.8</v>
          </cell>
          <cell r="DD135" t="str">
            <v>nd</v>
          </cell>
          <cell r="DE135">
            <v>81</v>
          </cell>
          <cell r="DF135">
            <v>19.8</v>
          </cell>
          <cell r="DG135">
            <v>15.4</v>
          </cell>
          <cell r="DH135">
            <v>16.7</v>
          </cell>
          <cell r="DI135">
            <v>11.799999999999999</v>
          </cell>
          <cell r="DJ135">
            <v>16.2</v>
          </cell>
          <cell r="DK135">
            <v>20.200000000000003</v>
          </cell>
          <cell r="DL135">
            <v>21.099999999999998</v>
          </cell>
          <cell r="DM135">
            <v>31.5</v>
          </cell>
          <cell r="DN135">
            <v>7.6</v>
          </cell>
          <cell r="DO135">
            <v>30.099999999999998</v>
          </cell>
          <cell r="DP135">
            <v>4</v>
          </cell>
          <cell r="DQ135">
            <v>0.89999999999999991</v>
          </cell>
          <cell r="DR135">
            <v>17</v>
          </cell>
          <cell r="DS135">
            <v>14.2</v>
          </cell>
          <cell r="DT135">
            <v>19.600000000000001</v>
          </cell>
          <cell r="DU135">
            <v>0</v>
          </cell>
          <cell r="DV135">
            <v>0</v>
          </cell>
          <cell r="DW135">
            <v>0</v>
          </cell>
          <cell r="DX135" t="str">
            <v>nd</v>
          </cell>
          <cell r="DY135" t="str">
            <v>nd</v>
          </cell>
          <cell r="DZ135">
            <v>4.8485500000000004</v>
          </cell>
          <cell r="EA135">
            <v>0.423703</v>
          </cell>
          <cell r="EB135">
            <v>0.502641</v>
          </cell>
          <cell r="EC135" t="str">
            <v>nd</v>
          </cell>
          <cell r="ED135">
            <v>0</v>
          </cell>
          <cell r="EE135">
            <v>0</v>
          </cell>
          <cell r="EF135">
            <v>19.850202599999999</v>
          </cell>
          <cell r="EG135">
            <v>5.4774799999999999</v>
          </cell>
          <cell r="EH135">
            <v>1.61449</v>
          </cell>
          <cell r="EI135">
            <v>0.22697199999999998</v>
          </cell>
          <cell r="EJ135">
            <v>0.28039599999999998</v>
          </cell>
          <cell r="EK135">
            <v>0.35886999999999997</v>
          </cell>
          <cell r="EL135">
            <v>45.213586300000003</v>
          </cell>
          <cell r="EM135">
            <v>2.73814</v>
          </cell>
          <cell r="EN135">
            <v>0.36548000000000003</v>
          </cell>
          <cell r="EO135">
            <v>0</v>
          </cell>
          <cell r="EP135">
            <v>0.73792399999999991</v>
          </cell>
          <cell r="EQ135">
            <v>0.50787499999999997</v>
          </cell>
          <cell r="ER135">
            <v>14.866851799999999</v>
          </cell>
          <cell r="ES135">
            <v>0.53017899999999996</v>
          </cell>
          <cell r="ET135" t="str">
            <v>nd</v>
          </cell>
          <cell r="EU135" t="str">
            <v>nd</v>
          </cell>
          <cell r="EV135" t="str">
            <v>nd</v>
          </cell>
          <cell r="EW135">
            <v>0.37393499999999996</v>
          </cell>
          <cell r="EX135">
            <v>0</v>
          </cell>
          <cell r="EY135">
            <v>0</v>
          </cell>
          <cell r="EZ135">
            <v>0</v>
          </cell>
          <cell r="FA135">
            <v>0</v>
          </cell>
          <cell r="FB135">
            <v>0.41032600000000002</v>
          </cell>
          <cell r="FC135">
            <v>0</v>
          </cell>
          <cell r="FD135" t="str">
            <v>nd</v>
          </cell>
          <cell r="FE135">
            <v>0.21987700000000002</v>
          </cell>
          <cell r="FF135">
            <v>0.61465900000000007</v>
          </cell>
          <cell r="FG135">
            <v>3.9216899999999999</v>
          </cell>
          <cell r="FH135">
            <v>1.1748099999999999</v>
          </cell>
          <cell r="FI135">
            <v>0.36014299999999999</v>
          </cell>
          <cell r="FJ135">
            <v>0.14553199999999999</v>
          </cell>
          <cell r="FK135">
            <v>0.83522000000000007</v>
          </cell>
          <cell r="FL135">
            <v>2.65001</v>
          </cell>
          <cell r="FM135">
            <v>12.373234099999999</v>
          </cell>
          <cell r="FN135">
            <v>11.5369657</v>
          </cell>
          <cell r="FO135">
            <v>0.49219199999999996</v>
          </cell>
          <cell r="FP135">
            <v>0</v>
          </cell>
          <cell r="FQ135">
            <v>0.28981899999999999</v>
          </cell>
          <cell r="FR135">
            <v>2.78199</v>
          </cell>
          <cell r="FS135">
            <v>11.1543998</v>
          </cell>
          <cell r="FT135">
            <v>34.9917224</v>
          </cell>
          <cell r="FU135">
            <v>0</v>
          </cell>
          <cell r="FV135">
            <v>0.38894300000000004</v>
          </cell>
          <cell r="FW135" t="str">
            <v>nd</v>
          </cell>
          <cell r="FX135">
            <v>2.4493299999999998</v>
          </cell>
          <cell r="FY135">
            <v>5.7510599999999998</v>
          </cell>
          <cell r="FZ135">
            <v>7.289514800000001</v>
          </cell>
          <cell r="GA135" t="str">
            <v>nd</v>
          </cell>
          <cell r="GB135">
            <v>0</v>
          </cell>
          <cell r="GC135">
            <v>0</v>
          </cell>
          <cell r="GD135">
            <v>0</v>
          </cell>
          <cell r="GE135" t="str">
            <v>nd</v>
          </cell>
          <cell r="GF135">
            <v>0</v>
          </cell>
          <cell r="GG135" t="str">
            <v>nd</v>
          </cell>
          <cell r="GH135" t="str">
            <v>nd</v>
          </cell>
          <cell r="GI135">
            <v>0</v>
          </cell>
          <cell r="GJ135">
            <v>4.4797799999999999</v>
          </cell>
          <cell r="GK135">
            <v>1.19207</v>
          </cell>
          <cell r="GL135" t="str">
            <v>nd</v>
          </cell>
          <cell r="GM135">
            <v>0</v>
          </cell>
          <cell r="GN135">
            <v>0.39592699999999997</v>
          </cell>
          <cell r="GO135">
            <v>2.0158200000000002</v>
          </cell>
          <cell r="GP135">
            <v>11.042914</v>
          </cell>
          <cell r="GQ135">
            <v>14.492694500000001</v>
          </cell>
          <cell r="GR135" t="str">
            <v>nd</v>
          </cell>
          <cell r="GS135">
            <v>0</v>
          </cell>
          <cell r="GT135">
            <v>0</v>
          </cell>
          <cell r="GU135">
            <v>0.95324999999999993</v>
          </cell>
          <cell r="GV135">
            <v>12.111295499999999</v>
          </cell>
          <cell r="GW135">
            <v>36.310549600000002</v>
          </cell>
          <cell r="GX135">
            <v>0</v>
          </cell>
          <cell r="GY135">
            <v>0</v>
          </cell>
          <cell r="GZ135">
            <v>0</v>
          </cell>
          <cell r="HA135">
            <v>0.52379699999999996</v>
          </cell>
          <cell r="HB135">
            <v>5.74925</v>
          </cell>
          <cell r="HC135">
            <v>9.6073971</v>
          </cell>
          <cell r="HD135">
            <v>0</v>
          </cell>
          <cell r="HE135" t="str">
            <v>nd</v>
          </cell>
          <cell r="HF135">
            <v>0</v>
          </cell>
          <cell r="HG135">
            <v>0</v>
          </cell>
          <cell r="HH135" t="str">
            <v>nd</v>
          </cell>
          <cell r="HI135">
            <v>0</v>
          </cell>
          <cell r="HJ135">
            <v>0</v>
          </cell>
          <cell r="HK135">
            <v>0</v>
          </cell>
          <cell r="HL135" t="str">
            <v>nd</v>
          </cell>
          <cell r="HM135">
            <v>4.7210200000000002</v>
          </cell>
          <cell r="HN135">
            <v>0.89005000000000001</v>
          </cell>
          <cell r="HO135" t="str">
            <v>nd</v>
          </cell>
          <cell r="HP135">
            <v>0</v>
          </cell>
          <cell r="HQ135">
            <v>0</v>
          </cell>
          <cell r="HR135">
            <v>0.97079000000000004</v>
          </cell>
          <cell r="HS135">
            <v>20.2722473</v>
          </cell>
          <cell r="HT135">
            <v>6.5682929000000003</v>
          </cell>
          <cell r="HU135">
            <v>0</v>
          </cell>
          <cell r="HV135">
            <v>0</v>
          </cell>
          <cell r="HW135">
            <v>0</v>
          </cell>
          <cell r="HX135">
            <v>1.34979</v>
          </cell>
          <cell r="HY135">
            <v>29.7066078</v>
          </cell>
          <cell r="HZ135">
            <v>18.521815400000001</v>
          </cell>
          <cell r="IA135">
            <v>0</v>
          </cell>
          <cell r="IB135">
            <v>0</v>
          </cell>
          <cell r="IC135" t="str">
            <v>nd</v>
          </cell>
          <cell r="ID135">
            <v>0.43800699999999998</v>
          </cell>
          <cell r="IE135">
            <v>11.8864538</v>
          </cell>
          <cell r="IF135">
            <v>3.6171300000000004</v>
          </cell>
          <cell r="IG135">
            <v>0</v>
          </cell>
          <cell r="IH135">
            <v>0</v>
          </cell>
          <cell r="II135">
            <v>0</v>
          </cell>
          <cell r="IJ135">
            <v>0</v>
          </cell>
          <cell r="IK135">
            <v>0.43866900000000003</v>
          </cell>
          <cell r="IL135">
            <v>0</v>
          </cell>
          <cell r="IM135">
            <v>0</v>
          </cell>
          <cell r="IN135" t="str">
            <v>nd</v>
          </cell>
          <cell r="IO135">
            <v>0.30413800000000002</v>
          </cell>
          <cell r="IP135">
            <v>3.9563599999999997</v>
          </cell>
          <cell r="IQ135">
            <v>1.38808</v>
          </cell>
          <cell r="IR135">
            <v>0</v>
          </cell>
          <cell r="IS135" t="str">
            <v>nd</v>
          </cell>
          <cell r="IT135">
            <v>0</v>
          </cell>
          <cell r="IU135">
            <v>0.65402899999999997</v>
          </cell>
          <cell r="IV135">
            <v>14.3526805</v>
          </cell>
          <cell r="IW135">
            <v>12.8442154</v>
          </cell>
          <cell r="IX135">
            <v>0</v>
          </cell>
          <cell r="IY135" t="str">
            <v>nd</v>
          </cell>
          <cell r="IZ135" t="str">
            <v>nd</v>
          </cell>
          <cell r="JA135">
            <v>0.81224999999999992</v>
          </cell>
          <cell r="JB135">
            <v>17.8954734</v>
          </cell>
          <cell r="JC135">
            <v>30.992655200000002</v>
          </cell>
          <cell r="JD135">
            <v>0</v>
          </cell>
          <cell r="JE135">
            <v>0</v>
          </cell>
          <cell r="JF135">
            <v>0</v>
          </cell>
          <cell r="JG135" t="str">
            <v>nd</v>
          </cell>
          <cell r="JH135">
            <v>7.7810384999999993</v>
          </cell>
          <cell r="JI135">
            <v>7.838779999999999</v>
          </cell>
          <cell r="JJ135">
            <v>0</v>
          </cell>
          <cell r="JK135">
            <v>0</v>
          </cell>
          <cell r="JL135">
            <v>0</v>
          </cell>
          <cell r="JM135">
            <v>0</v>
          </cell>
          <cell r="JN135">
            <v>0.40892000000000001</v>
          </cell>
          <cell r="JO135">
            <v>0</v>
          </cell>
          <cell r="JP135">
            <v>0</v>
          </cell>
          <cell r="JQ135">
            <v>0</v>
          </cell>
          <cell r="JR135">
            <v>0</v>
          </cell>
          <cell r="JS135" t="str">
            <v>nd</v>
          </cell>
          <cell r="JT135">
            <v>5.6255499999999996</v>
          </cell>
          <cell r="JU135">
            <v>0</v>
          </cell>
          <cell r="JV135">
            <v>0</v>
          </cell>
          <cell r="JW135">
            <v>0</v>
          </cell>
          <cell r="JX135" t="str">
            <v>nd</v>
          </cell>
          <cell r="JY135" t="str">
            <v>nd</v>
          </cell>
          <cell r="JZ135">
            <v>27.843770899999999</v>
          </cell>
          <cell r="KA135">
            <v>0</v>
          </cell>
          <cell r="KB135">
            <v>0</v>
          </cell>
          <cell r="KC135">
            <v>0</v>
          </cell>
          <cell r="KD135">
            <v>0</v>
          </cell>
          <cell r="KE135">
            <v>0.44984800000000003</v>
          </cell>
          <cell r="KF135">
            <v>49.407337299999995</v>
          </cell>
          <cell r="KG135">
            <v>0</v>
          </cell>
          <cell r="KH135">
            <v>0</v>
          </cell>
          <cell r="KI135">
            <v>0</v>
          </cell>
          <cell r="KJ135">
            <v>0</v>
          </cell>
          <cell r="KK135" t="str">
            <v>nd</v>
          </cell>
          <cell r="KL135">
            <v>15.7092604</v>
          </cell>
          <cell r="KM135">
            <v>84.3</v>
          </cell>
          <cell r="KN135">
            <v>4.7</v>
          </cell>
          <cell r="KO135">
            <v>3.5999999999999996</v>
          </cell>
          <cell r="KP135">
            <v>4.3999999999999995</v>
          </cell>
          <cell r="KQ135">
            <v>2.9000000000000004</v>
          </cell>
          <cell r="KR135">
            <v>0</v>
          </cell>
          <cell r="KS135">
            <v>83.399999999999991</v>
          </cell>
          <cell r="KT135">
            <v>5.2</v>
          </cell>
          <cell r="KU135">
            <v>3.6999999999999997</v>
          </cell>
          <cell r="KV135">
            <v>4.5999999999999996</v>
          </cell>
          <cell r="KW135">
            <v>3</v>
          </cell>
          <cell r="KX135">
            <v>0</v>
          </cell>
          <cell r="KY135"/>
          <cell r="KZ135"/>
          <cell r="LA135"/>
          <cell r="LB135"/>
          <cell r="LC135"/>
          <cell r="LD135"/>
          <cell r="LE135"/>
          <cell r="LF135"/>
          <cell r="LG135"/>
          <cell r="LH135"/>
          <cell r="LI135"/>
          <cell r="LJ135"/>
          <cell r="LK135"/>
          <cell r="LL135"/>
          <cell r="LM135"/>
          <cell r="LN135"/>
          <cell r="LO135"/>
        </row>
        <row r="136">
          <cell r="A136" t="str">
            <v>EnsGZ</v>
          </cell>
          <cell r="B136" t="str">
            <v>136</v>
          </cell>
          <cell r="C136" t="str">
            <v>NAF 38</v>
          </cell>
          <cell r="D136" t="str">
            <v>GZ</v>
          </cell>
          <cell r="E136" t="str">
            <v/>
          </cell>
          <cell r="F136">
            <v>0.4</v>
          </cell>
          <cell r="G136">
            <v>4.3999999999999995</v>
          </cell>
          <cell r="H136">
            <v>35.199999999999996</v>
          </cell>
          <cell r="I136">
            <v>38</v>
          </cell>
          <cell r="J136">
            <v>22</v>
          </cell>
          <cell r="K136">
            <v>52.800000000000004</v>
          </cell>
          <cell r="L136">
            <v>11.899999999999999</v>
          </cell>
          <cell r="M136">
            <v>10.7</v>
          </cell>
          <cell r="N136">
            <v>24.6</v>
          </cell>
          <cell r="O136">
            <v>30.7</v>
          </cell>
          <cell r="P136">
            <v>31.5</v>
          </cell>
          <cell r="Q136">
            <v>23</v>
          </cell>
          <cell r="R136">
            <v>11.600000000000001</v>
          </cell>
          <cell r="S136">
            <v>23.599999999999998</v>
          </cell>
          <cell r="T136">
            <v>23.400000000000002</v>
          </cell>
          <cell r="U136">
            <v>4.5</v>
          </cell>
          <cell r="V136">
            <v>20.8</v>
          </cell>
          <cell r="W136">
            <v>11.3</v>
          </cell>
          <cell r="X136">
            <v>72</v>
          </cell>
          <cell r="Y136">
            <v>16.8</v>
          </cell>
          <cell r="Z136">
            <v>8.5</v>
          </cell>
          <cell r="AA136">
            <v>56.599999999999994</v>
          </cell>
          <cell r="AB136">
            <v>10.4</v>
          </cell>
          <cell r="AC136">
            <v>46.2</v>
          </cell>
          <cell r="AD136">
            <v>22.6</v>
          </cell>
          <cell r="AE136">
            <v>58.599999999999994</v>
          </cell>
          <cell r="AF136">
            <v>41.4</v>
          </cell>
          <cell r="AG136">
            <v>73.5</v>
          </cell>
          <cell r="AH136">
            <v>26.5</v>
          </cell>
          <cell r="AI136">
            <v>31.4</v>
          </cell>
          <cell r="AJ136">
            <v>4.3</v>
          </cell>
          <cell r="AK136">
            <v>3.1</v>
          </cell>
          <cell r="AL136">
            <v>51.9</v>
          </cell>
          <cell r="AM136">
            <v>9.3000000000000007</v>
          </cell>
          <cell r="AN136">
            <v>5.7</v>
          </cell>
          <cell r="AO136">
            <v>1.5</v>
          </cell>
          <cell r="AP136">
            <v>3.1</v>
          </cell>
          <cell r="AQ136">
            <v>75.900000000000006</v>
          </cell>
          <cell r="AR136">
            <v>13.700000000000001</v>
          </cell>
          <cell r="AS136">
            <v>71.3</v>
          </cell>
          <cell r="AT136">
            <v>10.299999999999999</v>
          </cell>
          <cell r="AU136">
            <v>5.0999999999999996</v>
          </cell>
          <cell r="AV136">
            <v>5.3</v>
          </cell>
          <cell r="AW136">
            <v>2.8000000000000003</v>
          </cell>
          <cell r="AX136">
            <v>5.0999999999999996</v>
          </cell>
          <cell r="AY136">
            <v>5.2</v>
          </cell>
          <cell r="AZ136">
            <v>4.7</v>
          </cell>
          <cell r="BA136">
            <v>5.5</v>
          </cell>
          <cell r="BB136">
            <v>9.5</v>
          </cell>
          <cell r="BC136">
            <v>30.599999999999998</v>
          </cell>
          <cell r="BD136">
            <v>44.4</v>
          </cell>
          <cell r="BE136">
            <v>0.89999999999999991</v>
          </cell>
          <cell r="BF136">
            <v>1.0999999999999999</v>
          </cell>
          <cell r="BG136">
            <v>1.6</v>
          </cell>
          <cell r="BH136">
            <v>6.4</v>
          </cell>
          <cell r="BI136">
            <v>36.9</v>
          </cell>
          <cell r="BJ136">
            <v>53.1</v>
          </cell>
          <cell r="BK136">
            <v>0</v>
          </cell>
          <cell r="BL136" t="str">
            <v>nd</v>
          </cell>
          <cell r="BM136">
            <v>0.3</v>
          </cell>
          <cell r="BN136">
            <v>8.6</v>
          </cell>
          <cell r="BO136">
            <v>71.7</v>
          </cell>
          <cell r="BP136">
            <v>19.400000000000002</v>
          </cell>
          <cell r="BQ136" t="str">
            <v>nd</v>
          </cell>
          <cell r="BR136">
            <v>0.1</v>
          </cell>
          <cell r="BS136">
            <v>1.0999999999999999</v>
          </cell>
          <cell r="BT136">
            <v>13.100000000000001</v>
          </cell>
          <cell r="BU136">
            <v>64.400000000000006</v>
          </cell>
          <cell r="BV136">
            <v>21.3</v>
          </cell>
          <cell r="BW136">
            <v>0</v>
          </cell>
          <cell r="BX136">
            <v>0</v>
          </cell>
          <cell r="BY136" t="str">
            <v>nd</v>
          </cell>
          <cell r="BZ136" t="str">
            <v>nd</v>
          </cell>
          <cell r="CA136">
            <v>2.8000000000000003</v>
          </cell>
          <cell r="CB136">
            <v>97.1</v>
          </cell>
          <cell r="CC136">
            <v>26.3</v>
          </cell>
          <cell r="CD136">
            <v>9.8000000000000007</v>
          </cell>
          <cell r="CE136">
            <v>0.8</v>
          </cell>
          <cell r="CF136">
            <v>3.1</v>
          </cell>
          <cell r="CG136">
            <v>0.4</v>
          </cell>
          <cell r="CH136">
            <v>14.399999999999999</v>
          </cell>
          <cell r="CI136">
            <v>6.6000000000000005</v>
          </cell>
          <cell r="CJ136">
            <v>58.599999999999994</v>
          </cell>
          <cell r="CK136">
            <v>27.400000000000002</v>
          </cell>
          <cell r="CL136">
            <v>5.4</v>
          </cell>
          <cell r="CM136">
            <v>2.1999999999999997</v>
          </cell>
          <cell r="CN136">
            <v>1.6</v>
          </cell>
          <cell r="CO136">
            <v>72.2</v>
          </cell>
          <cell r="CP136">
            <v>18</v>
          </cell>
          <cell r="CQ136">
            <v>31.8</v>
          </cell>
          <cell r="CR136">
            <v>16.400000000000002</v>
          </cell>
          <cell r="CS136">
            <v>33.700000000000003</v>
          </cell>
          <cell r="CT136">
            <v>25.7</v>
          </cell>
          <cell r="CU136">
            <v>74.3</v>
          </cell>
          <cell r="CV136">
            <v>33.6</v>
          </cell>
          <cell r="CW136">
            <v>66.400000000000006</v>
          </cell>
          <cell r="CX136">
            <v>45.5</v>
          </cell>
          <cell r="CY136">
            <v>32.4</v>
          </cell>
          <cell r="CZ136">
            <v>22.1</v>
          </cell>
          <cell r="DA136">
            <v>64.3</v>
          </cell>
          <cell r="DB136">
            <v>6.2</v>
          </cell>
          <cell r="DC136">
            <v>22.400000000000002</v>
          </cell>
          <cell r="DD136">
            <v>0.2</v>
          </cell>
          <cell r="DE136">
            <v>43.2</v>
          </cell>
          <cell r="DF136">
            <v>25.900000000000002</v>
          </cell>
          <cell r="DG136">
            <v>5.8000000000000007</v>
          </cell>
          <cell r="DH136">
            <v>12.8</v>
          </cell>
          <cell r="DI136">
            <v>12.8</v>
          </cell>
          <cell r="DJ136">
            <v>19.2</v>
          </cell>
          <cell r="DK136">
            <v>23.599999999999998</v>
          </cell>
          <cell r="DL136">
            <v>21.8</v>
          </cell>
          <cell r="DM136">
            <v>28.9</v>
          </cell>
          <cell r="DN136">
            <v>14.399999999999999</v>
          </cell>
          <cell r="DO136">
            <v>23.5</v>
          </cell>
          <cell r="DP136">
            <v>5</v>
          </cell>
          <cell r="DQ136">
            <v>2.2999999999999998</v>
          </cell>
          <cell r="DR136">
            <v>21.2</v>
          </cell>
          <cell r="DS136">
            <v>29.5</v>
          </cell>
          <cell r="DT136">
            <v>16.600000000000001</v>
          </cell>
          <cell r="DU136">
            <v>0.110758</v>
          </cell>
          <cell r="DV136" t="str">
            <v>nd</v>
          </cell>
          <cell r="DW136">
            <v>0</v>
          </cell>
          <cell r="DX136">
            <v>0</v>
          </cell>
          <cell r="DY136">
            <v>0.28933700000000001</v>
          </cell>
          <cell r="DZ136">
            <v>1.8321299999999998</v>
          </cell>
          <cell r="EA136">
            <v>0.71962099999999996</v>
          </cell>
          <cell r="EB136">
            <v>0.75732999999999995</v>
          </cell>
          <cell r="EC136">
            <v>0.38780700000000001</v>
          </cell>
          <cell r="ED136">
            <v>0.50812299999999999</v>
          </cell>
          <cell r="EE136">
            <v>0.21944400000000003</v>
          </cell>
          <cell r="EF136">
            <v>21.456244599999998</v>
          </cell>
          <cell r="EG136">
            <v>5.8943099999999999</v>
          </cell>
          <cell r="EH136">
            <v>2.1592199999999999</v>
          </cell>
          <cell r="EI136">
            <v>3.3035299999999999</v>
          </cell>
          <cell r="EJ136">
            <v>1.38893</v>
          </cell>
          <cell r="EK136">
            <v>1.0564799999999999</v>
          </cell>
          <cell r="EL136">
            <v>29.239806600000001</v>
          </cell>
          <cell r="EM136">
            <v>2.2275300000000002</v>
          </cell>
          <cell r="EN136">
            <v>1.84304</v>
          </cell>
          <cell r="EO136">
            <v>1.38558</v>
          </cell>
          <cell r="EP136">
            <v>0.74980100000000005</v>
          </cell>
          <cell r="EQ136">
            <v>2.39663</v>
          </cell>
          <cell r="ER136">
            <v>18.384150699999999</v>
          </cell>
          <cell r="ES136">
            <v>1.5655399999999999</v>
          </cell>
          <cell r="ET136">
            <v>0.45560899999999999</v>
          </cell>
          <cell r="EU136">
            <v>0.35824800000000001</v>
          </cell>
          <cell r="EV136">
            <v>0.13398599999999999</v>
          </cell>
          <cell r="EW136">
            <v>1.1727100000000001</v>
          </cell>
          <cell r="EX136">
            <v>0</v>
          </cell>
          <cell r="EY136">
            <v>0.19193700000000002</v>
          </cell>
          <cell r="EZ136">
            <v>0</v>
          </cell>
          <cell r="FA136" t="str">
            <v>nd</v>
          </cell>
          <cell r="FB136">
            <v>0.22828300000000001</v>
          </cell>
          <cell r="FC136">
            <v>0.108434</v>
          </cell>
          <cell r="FD136">
            <v>0.31494</v>
          </cell>
          <cell r="FE136">
            <v>0.42495500000000003</v>
          </cell>
          <cell r="FF136">
            <v>0.47495100000000001</v>
          </cell>
          <cell r="FG136">
            <v>1.18069</v>
          </cell>
          <cell r="FH136">
            <v>1.9897399999999998</v>
          </cell>
          <cell r="FI136">
            <v>1.9282299999999999</v>
          </cell>
          <cell r="FJ136">
            <v>2.2241200000000001</v>
          </cell>
          <cell r="FK136">
            <v>2.4929099999999997</v>
          </cell>
          <cell r="FL136">
            <v>2.9119600000000001</v>
          </cell>
          <cell r="FM136">
            <v>16.073185300000002</v>
          </cell>
          <cell r="FN136">
            <v>9.5567889000000008</v>
          </cell>
          <cell r="FO136">
            <v>3.0444599999999999</v>
          </cell>
          <cell r="FP136">
            <v>1.13968</v>
          </cell>
          <cell r="FQ136">
            <v>2.2052200000000002</v>
          </cell>
          <cell r="FR136">
            <v>2.0254099999999999</v>
          </cell>
          <cell r="FS136">
            <v>8.1773349</v>
          </cell>
          <cell r="FT136">
            <v>21.5057136</v>
          </cell>
          <cell r="FU136">
            <v>0.17039799999999999</v>
          </cell>
          <cell r="FV136">
            <v>1.05355</v>
          </cell>
          <cell r="FW136">
            <v>0.53243199999999991</v>
          </cell>
          <cell r="FX136">
            <v>3.75177</v>
          </cell>
          <cell r="FY136">
            <v>5.1549800000000001</v>
          </cell>
          <cell r="FZ136">
            <v>11.114047000000001</v>
          </cell>
          <cell r="GA136">
            <v>0.30322399999999999</v>
          </cell>
          <cell r="GB136" t="str">
            <v>nd</v>
          </cell>
          <cell r="GC136">
            <v>0</v>
          </cell>
          <cell r="GD136">
            <v>0</v>
          </cell>
          <cell r="GE136">
            <v>0.11183700000000001</v>
          </cell>
          <cell r="GF136">
            <v>0.33371899999999999</v>
          </cell>
          <cell r="GG136">
            <v>0.258741</v>
          </cell>
          <cell r="GH136">
            <v>0.510328</v>
          </cell>
          <cell r="GI136">
            <v>0.65057500000000001</v>
          </cell>
          <cell r="GJ136">
            <v>1.2906199999999999</v>
          </cell>
          <cell r="GK136">
            <v>1.43862</v>
          </cell>
          <cell r="GL136">
            <v>0.186918</v>
          </cell>
          <cell r="GM136">
            <v>0.62680199999999997</v>
          </cell>
          <cell r="GN136">
            <v>0.95219999999999994</v>
          </cell>
          <cell r="GO136">
            <v>4.2816000000000001</v>
          </cell>
          <cell r="GP136">
            <v>11.530243</v>
          </cell>
          <cell r="GQ136">
            <v>17.608898</v>
          </cell>
          <cell r="GR136" t="str">
            <v>nd</v>
          </cell>
          <cell r="GS136" t="str">
            <v>nd</v>
          </cell>
          <cell r="GT136" t="str">
            <v>nd</v>
          </cell>
          <cell r="GU136">
            <v>0.56599199999999994</v>
          </cell>
          <cell r="GV136">
            <v>13.833094200000001</v>
          </cell>
          <cell r="GW136">
            <v>23.330835099999998</v>
          </cell>
          <cell r="GX136">
            <v>0</v>
          </cell>
          <cell r="GY136" t="str">
            <v>nd</v>
          </cell>
          <cell r="GZ136">
            <v>9.1884599999999997E-2</v>
          </cell>
          <cell r="HA136">
            <v>1.0160199999999999</v>
          </cell>
          <cell r="HB136">
            <v>10.0468887</v>
          </cell>
          <cell r="HC136">
            <v>10.6302766</v>
          </cell>
          <cell r="HD136">
            <v>0</v>
          </cell>
          <cell r="HE136">
            <v>0.33512400000000003</v>
          </cell>
          <cell r="HF136">
            <v>0</v>
          </cell>
          <cell r="HG136">
            <v>0</v>
          </cell>
          <cell r="HH136">
            <v>8.2410800000000006E-2</v>
          </cell>
          <cell r="HI136">
            <v>0</v>
          </cell>
          <cell r="HJ136">
            <v>0</v>
          </cell>
          <cell r="HK136">
            <v>0</v>
          </cell>
          <cell r="HL136">
            <v>0.55484800000000001</v>
          </cell>
          <cell r="HM136">
            <v>2.7618899999999997</v>
          </cell>
          <cell r="HN136">
            <v>1.03159</v>
          </cell>
          <cell r="HO136">
            <v>0</v>
          </cell>
          <cell r="HP136">
            <v>0</v>
          </cell>
          <cell r="HQ136">
            <v>0.113009</v>
          </cell>
          <cell r="HR136">
            <v>2.3282500000000002</v>
          </cell>
          <cell r="HS136">
            <v>26.681934299999998</v>
          </cell>
          <cell r="HT136">
            <v>5.9647699999999997</v>
          </cell>
          <cell r="HU136">
            <v>0</v>
          </cell>
          <cell r="HV136">
            <v>0</v>
          </cell>
          <cell r="HW136" t="str">
            <v>nd</v>
          </cell>
          <cell r="HX136">
            <v>2.3065899999999999</v>
          </cell>
          <cell r="HY136">
            <v>26.849181700000003</v>
          </cell>
          <cell r="HZ136">
            <v>8.9412687999999996</v>
          </cell>
          <cell r="IA136">
            <v>0</v>
          </cell>
          <cell r="IB136" t="str">
            <v>nd</v>
          </cell>
          <cell r="IC136" t="str">
            <v>nd</v>
          </cell>
          <cell r="ID136">
            <v>3.3381300000000005</v>
          </cell>
          <cell r="IE136">
            <v>15.1617119</v>
          </cell>
          <cell r="IF136">
            <v>3.3073699999999997</v>
          </cell>
          <cell r="IG136">
            <v>0</v>
          </cell>
          <cell r="IH136">
            <v>9.4717399999999993E-2</v>
          </cell>
          <cell r="II136" t="str">
            <v>nd</v>
          </cell>
          <cell r="IJ136">
            <v>0</v>
          </cell>
          <cell r="IK136">
            <v>0.20123200000000002</v>
          </cell>
          <cell r="IL136">
            <v>0</v>
          </cell>
          <cell r="IM136">
            <v>0</v>
          </cell>
          <cell r="IN136">
            <v>0.35031499999999999</v>
          </cell>
          <cell r="IO136">
            <v>0.59509999999999996</v>
          </cell>
          <cell r="IP136">
            <v>1.93448</v>
          </cell>
          <cell r="IQ136">
            <v>1.6783699999999999</v>
          </cell>
          <cell r="IR136" t="str">
            <v>nd</v>
          </cell>
          <cell r="IS136" t="str">
            <v>nd</v>
          </cell>
          <cell r="IT136">
            <v>0.15331399999999998</v>
          </cell>
          <cell r="IU136">
            <v>4.7121499999999994</v>
          </cell>
          <cell r="IV136">
            <v>23.982476899999998</v>
          </cell>
          <cell r="IW136">
            <v>6.4259180000000002</v>
          </cell>
          <cell r="IX136" t="str">
            <v>nd</v>
          </cell>
          <cell r="IY136" t="str">
            <v>nd</v>
          </cell>
          <cell r="IZ136">
            <v>0.30030600000000002</v>
          </cell>
          <cell r="JA136">
            <v>5.7512099999999995</v>
          </cell>
          <cell r="JB136">
            <v>23.314859299999998</v>
          </cell>
          <cell r="JC136">
            <v>8.310398600000001</v>
          </cell>
          <cell r="JD136">
            <v>0</v>
          </cell>
          <cell r="JE136">
            <v>0</v>
          </cell>
          <cell r="JF136" t="str">
            <v>nd</v>
          </cell>
          <cell r="JG136">
            <v>2.16615</v>
          </cell>
          <cell r="JH136">
            <v>15.0230575</v>
          </cell>
          <cell r="JI136">
            <v>4.5101800000000001</v>
          </cell>
          <cell r="JJ136">
            <v>0</v>
          </cell>
          <cell r="JK136">
            <v>0</v>
          </cell>
          <cell r="JL136">
            <v>0</v>
          </cell>
          <cell r="JM136">
            <v>0</v>
          </cell>
          <cell r="JN136">
            <v>0.42470700000000006</v>
          </cell>
          <cell r="JO136">
            <v>0</v>
          </cell>
          <cell r="JP136">
            <v>0</v>
          </cell>
          <cell r="JQ136" t="str">
            <v>nd</v>
          </cell>
          <cell r="JR136">
            <v>0</v>
          </cell>
          <cell r="JS136">
            <v>0</v>
          </cell>
          <cell r="JT136">
            <v>4.28688</v>
          </cell>
          <cell r="JU136">
            <v>0</v>
          </cell>
          <cell r="JV136">
            <v>0</v>
          </cell>
          <cell r="JW136">
            <v>0</v>
          </cell>
          <cell r="JX136" t="str">
            <v>nd</v>
          </cell>
          <cell r="JY136">
            <v>1.3134399999999999</v>
          </cell>
          <cell r="JZ136">
            <v>33.6729585</v>
          </cell>
          <cell r="KA136">
            <v>0</v>
          </cell>
          <cell r="KB136">
            <v>0</v>
          </cell>
          <cell r="KC136">
            <v>0</v>
          </cell>
          <cell r="KD136">
            <v>0</v>
          </cell>
          <cell r="KE136">
            <v>1.19998</v>
          </cell>
          <cell r="KF136">
            <v>37.061156499999996</v>
          </cell>
          <cell r="KG136">
            <v>0</v>
          </cell>
          <cell r="KH136">
            <v>0</v>
          </cell>
          <cell r="KI136">
            <v>0</v>
          </cell>
          <cell r="KJ136">
            <v>0</v>
          </cell>
          <cell r="KK136">
            <v>0.36434800000000001</v>
          </cell>
          <cell r="KL136">
            <v>21.586347799999999</v>
          </cell>
          <cell r="KM136">
            <v>70</v>
          </cell>
          <cell r="KN136">
            <v>11.600000000000001</v>
          </cell>
          <cell r="KO136">
            <v>5.3</v>
          </cell>
          <cell r="KP136">
            <v>6.2</v>
          </cell>
          <cell r="KQ136">
            <v>6.7</v>
          </cell>
          <cell r="KR136">
            <v>0.2</v>
          </cell>
          <cell r="KS136">
            <v>68.7</v>
          </cell>
          <cell r="KT136">
            <v>11.700000000000001</v>
          </cell>
          <cell r="KU136">
            <v>5.4</v>
          </cell>
          <cell r="KV136">
            <v>6.6000000000000005</v>
          </cell>
          <cell r="KW136">
            <v>7.3</v>
          </cell>
          <cell r="KX136">
            <v>0.2</v>
          </cell>
          <cell r="KY136"/>
          <cell r="KZ136"/>
          <cell r="LA136"/>
          <cell r="LB136"/>
          <cell r="LC136"/>
          <cell r="LD136"/>
          <cell r="LE136"/>
          <cell r="LF136"/>
          <cell r="LG136"/>
          <cell r="LH136"/>
          <cell r="LI136"/>
          <cell r="LJ136"/>
          <cell r="LK136"/>
          <cell r="LL136"/>
          <cell r="LM136"/>
          <cell r="LN136"/>
          <cell r="LO136"/>
        </row>
        <row r="137">
          <cell r="A137" t="str">
            <v>EnsHZ</v>
          </cell>
          <cell r="B137" t="str">
            <v>137</v>
          </cell>
          <cell r="C137" t="str">
            <v>NAF 38</v>
          </cell>
          <cell r="D137" t="str">
            <v>HZ</v>
          </cell>
          <cell r="E137" t="str">
            <v/>
          </cell>
          <cell r="F137">
            <v>1</v>
          </cell>
          <cell r="G137">
            <v>21.8</v>
          </cell>
          <cell r="H137">
            <v>34</v>
          </cell>
          <cell r="I137">
            <v>26.200000000000003</v>
          </cell>
          <cell r="J137">
            <v>17</v>
          </cell>
          <cell r="K137">
            <v>82</v>
          </cell>
          <cell r="L137">
            <v>12</v>
          </cell>
          <cell r="M137">
            <v>5.0999999999999996</v>
          </cell>
          <cell r="N137">
            <v>0.89999999999999991</v>
          </cell>
          <cell r="O137">
            <v>35.5</v>
          </cell>
          <cell r="P137">
            <v>40.400000000000006</v>
          </cell>
          <cell r="Q137">
            <v>13.700000000000001</v>
          </cell>
          <cell r="R137">
            <v>5.5</v>
          </cell>
          <cell r="S137">
            <v>12</v>
          </cell>
          <cell r="T137">
            <v>38.5</v>
          </cell>
          <cell r="U137">
            <v>4.8</v>
          </cell>
          <cell r="V137">
            <v>14.099999999999998</v>
          </cell>
          <cell r="W137">
            <v>19</v>
          </cell>
          <cell r="X137">
            <v>76.2</v>
          </cell>
          <cell r="Y137">
            <v>4.8</v>
          </cell>
          <cell r="Z137">
            <v>4.3</v>
          </cell>
          <cell r="AA137">
            <v>47.3</v>
          </cell>
          <cell r="AB137">
            <v>4.3</v>
          </cell>
          <cell r="AC137">
            <v>73.400000000000006</v>
          </cell>
          <cell r="AD137">
            <v>23.400000000000002</v>
          </cell>
          <cell r="AE137">
            <v>68.8</v>
          </cell>
          <cell r="AF137">
            <v>31.2</v>
          </cell>
          <cell r="AG137">
            <v>79.900000000000006</v>
          </cell>
          <cell r="AH137">
            <v>20.100000000000001</v>
          </cell>
          <cell r="AI137">
            <v>48.6</v>
          </cell>
          <cell r="AJ137">
            <v>8.6</v>
          </cell>
          <cell r="AK137">
            <v>0.6</v>
          </cell>
          <cell r="AL137">
            <v>37.799999999999997</v>
          </cell>
          <cell r="AM137">
            <v>4.3999999999999995</v>
          </cell>
          <cell r="AN137">
            <v>5.7</v>
          </cell>
          <cell r="AO137">
            <v>1.7000000000000002</v>
          </cell>
          <cell r="AP137">
            <v>4.1000000000000005</v>
          </cell>
          <cell r="AQ137">
            <v>71.8</v>
          </cell>
          <cell r="AR137">
            <v>16.7</v>
          </cell>
          <cell r="AS137">
            <v>52.1</v>
          </cell>
          <cell r="AT137">
            <v>19</v>
          </cell>
          <cell r="AU137">
            <v>11.200000000000001</v>
          </cell>
          <cell r="AV137">
            <v>4.2</v>
          </cell>
          <cell r="AW137">
            <v>8.6</v>
          </cell>
          <cell r="AX137">
            <v>5</v>
          </cell>
          <cell r="AY137">
            <v>1.0999999999999999</v>
          </cell>
          <cell r="AZ137">
            <v>16</v>
          </cell>
          <cell r="BA137">
            <v>2.2999999999999998</v>
          </cell>
          <cell r="BB137">
            <v>11.899999999999999</v>
          </cell>
          <cell r="BC137">
            <v>28.799999999999997</v>
          </cell>
          <cell r="BD137">
            <v>39.900000000000006</v>
          </cell>
          <cell r="BE137">
            <v>1.4000000000000001</v>
          </cell>
          <cell r="BF137">
            <v>3</v>
          </cell>
          <cell r="BG137">
            <v>1.7000000000000002</v>
          </cell>
          <cell r="BH137">
            <v>12.4</v>
          </cell>
          <cell r="BI137">
            <v>41.6</v>
          </cell>
          <cell r="BJ137">
            <v>39.900000000000006</v>
          </cell>
          <cell r="BK137" t="str">
            <v>nd</v>
          </cell>
          <cell r="BL137">
            <v>0</v>
          </cell>
          <cell r="BM137" t="str">
            <v>nd</v>
          </cell>
          <cell r="BN137">
            <v>6.6000000000000005</v>
          </cell>
          <cell r="BO137">
            <v>79.7</v>
          </cell>
          <cell r="BP137">
            <v>13.600000000000001</v>
          </cell>
          <cell r="BQ137" t="str">
            <v>nd</v>
          </cell>
          <cell r="BR137" t="str">
            <v>nd</v>
          </cell>
          <cell r="BS137">
            <v>0.4</v>
          </cell>
          <cell r="BT137">
            <v>16.2</v>
          </cell>
          <cell r="BU137">
            <v>66.900000000000006</v>
          </cell>
          <cell r="BV137">
            <v>16.3</v>
          </cell>
          <cell r="BW137">
            <v>0</v>
          </cell>
          <cell r="BX137">
            <v>0</v>
          </cell>
          <cell r="BY137">
            <v>0</v>
          </cell>
          <cell r="BZ137">
            <v>0</v>
          </cell>
          <cell r="CA137">
            <v>7.7</v>
          </cell>
          <cell r="CB137">
            <v>92.300000000000011</v>
          </cell>
          <cell r="CC137">
            <v>18.2</v>
          </cell>
          <cell r="CD137">
            <v>6.3</v>
          </cell>
          <cell r="CE137">
            <v>0.5</v>
          </cell>
          <cell r="CF137">
            <v>1.2</v>
          </cell>
          <cell r="CG137">
            <v>0.6</v>
          </cell>
          <cell r="CH137">
            <v>11.1</v>
          </cell>
          <cell r="CI137">
            <v>4.5</v>
          </cell>
          <cell r="CJ137">
            <v>68.5</v>
          </cell>
          <cell r="CK137">
            <v>49.8</v>
          </cell>
          <cell r="CL137">
            <v>8</v>
          </cell>
          <cell r="CM137">
            <v>3</v>
          </cell>
          <cell r="CN137">
            <v>2.2999999999999998</v>
          </cell>
          <cell r="CO137">
            <v>49.1</v>
          </cell>
          <cell r="CP137">
            <v>13.200000000000001</v>
          </cell>
          <cell r="CQ137">
            <v>26.3</v>
          </cell>
          <cell r="CR137">
            <v>16.3</v>
          </cell>
          <cell r="CS137">
            <v>44.3</v>
          </cell>
          <cell r="CT137">
            <v>27.3</v>
          </cell>
          <cell r="CU137">
            <v>72.7</v>
          </cell>
          <cell r="CV137">
            <v>18</v>
          </cell>
          <cell r="CW137">
            <v>82</v>
          </cell>
          <cell r="CX137">
            <v>18.7</v>
          </cell>
          <cell r="CY137">
            <v>27.800000000000004</v>
          </cell>
          <cell r="CZ137">
            <v>53.5</v>
          </cell>
          <cell r="DA137">
            <v>27.3</v>
          </cell>
          <cell r="DB137">
            <v>4.8</v>
          </cell>
          <cell r="DC137">
            <v>12.7</v>
          </cell>
          <cell r="DD137" t="str">
            <v>nd</v>
          </cell>
          <cell r="DE137">
            <v>70.899999999999991</v>
          </cell>
          <cell r="DF137">
            <v>14.2</v>
          </cell>
          <cell r="DG137">
            <v>5.4</v>
          </cell>
          <cell r="DH137">
            <v>18.5</v>
          </cell>
          <cell r="DI137">
            <v>8.6999999999999993</v>
          </cell>
          <cell r="DJ137">
            <v>33.700000000000003</v>
          </cell>
          <cell r="DK137">
            <v>19.5</v>
          </cell>
          <cell r="DL137">
            <v>14.899999999999999</v>
          </cell>
          <cell r="DM137">
            <v>49.7</v>
          </cell>
          <cell r="DN137">
            <v>13.700000000000001</v>
          </cell>
          <cell r="DO137">
            <v>26.6</v>
          </cell>
          <cell r="DP137">
            <v>4.2</v>
          </cell>
          <cell r="DQ137">
            <v>1.7999999999999998</v>
          </cell>
          <cell r="DR137">
            <v>3.5000000000000004</v>
          </cell>
          <cell r="DS137">
            <v>9.8000000000000007</v>
          </cell>
          <cell r="DT137">
            <v>23</v>
          </cell>
          <cell r="DU137" t="str">
            <v>nd</v>
          </cell>
          <cell r="DV137">
            <v>0.43797700000000001</v>
          </cell>
          <cell r="DW137">
            <v>0</v>
          </cell>
          <cell r="DX137" t="str">
            <v>nd</v>
          </cell>
          <cell r="DY137">
            <v>0.32855800000000002</v>
          </cell>
          <cell r="DZ137">
            <v>2.7146699999999999</v>
          </cell>
          <cell r="EA137">
            <v>8.363509800000001</v>
          </cell>
          <cell r="EB137">
            <v>1.0600500000000002</v>
          </cell>
          <cell r="EC137">
            <v>2.3201700000000001</v>
          </cell>
          <cell r="ED137">
            <v>7.0824666999999994</v>
          </cell>
          <cell r="EE137">
            <v>0.29724600000000001</v>
          </cell>
          <cell r="EF137">
            <v>20.708719500000001</v>
          </cell>
          <cell r="EG137">
            <v>8.3772348999999995</v>
          </cell>
          <cell r="EH137">
            <v>0.66011200000000003</v>
          </cell>
          <cell r="EI137">
            <v>1.0920799999999999</v>
          </cell>
          <cell r="EJ137">
            <v>0.88454999999999995</v>
          </cell>
          <cell r="EK137">
            <v>1.1373599999999999</v>
          </cell>
          <cell r="EL137">
            <v>21.199851200000001</v>
          </cell>
          <cell r="EM137">
            <v>1.9039299999999999</v>
          </cell>
          <cell r="EN137">
            <v>0.50287800000000005</v>
          </cell>
          <cell r="EO137" t="str">
            <v>nd</v>
          </cell>
          <cell r="EP137" t="str">
            <v>nd</v>
          </cell>
          <cell r="EQ137">
            <v>2.9425500000000002</v>
          </cell>
          <cell r="ER137">
            <v>6.8899383999999992</v>
          </cell>
          <cell r="ES137">
            <v>0.75455399999999995</v>
          </cell>
          <cell r="ET137" t="str">
            <v>nd</v>
          </cell>
          <cell r="EU137">
            <v>0.581959</v>
          </cell>
          <cell r="EV137">
            <v>0</v>
          </cell>
          <cell r="EW137">
            <v>0.28270200000000001</v>
          </cell>
          <cell r="EX137">
            <v>0</v>
          </cell>
          <cell r="EY137">
            <v>0.24437800000000001</v>
          </cell>
          <cell r="EZ137">
            <v>0</v>
          </cell>
          <cell r="FA137" t="str">
            <v>nd</v>
          </cell>
          <cell r="FB137">
            <v>0.71708899999999998</v>
          </cell>
          <cell r="FC137">
            <v>0.31703799999999999</v>
          </cell>
          <cell r="FD137" t="str">
            <v>nd</v>
          </cell>
          <cell r="FE137">
            <v>1.3514200000000001</v>
          </cell>
          <cell r="FF137">
            <v>6.5930359999999997</v>
          </cell>
          <cell r="FG137">
            <v>2.4849000000000001</v>
          </cell>
          <cell r="FH137">
            <v>4.1690499999999995</v>
          </cell>
          <cell r="FI137">
            <v>0.73293999999999992</v>
          </cell>
          <cell r="FJ137">
            <v>0.116949</v>
          </cell>
          <cell r="FK137" t="str">
            <v>nd</v>
          </cell>
          <cell r="FL137">
            <v>4.0442800000000005</v>
          </cell>
          <cell r="FM137">
            <v>15.2466975</v>
          </cell>
          <cell r="FN137">
            <v>12.419535</v>
          </cell>
          <cell r="FO137" t="str">
            <v>nd</v>
          </cell>
          <cell r="FP137" t="str">
            <v>nd</v>
          </cell>
          <cell r="FQ137">
            <v>0.25956999999999997</v>
          </cell>
          <cell r="FR137">
            <v>1.1712</v>
          </cell>
          <cell r="FS137">
            <v>8.7396186999999994</v>
          </cell>
          <cell r="FT137">
            <v>17.147104899999999</v>
          </cell>
          <cell r="FU137">
            <v>0</v>
          </cell>
          <cell r="FV137">
            <v>9.3797038999999991</v>
          </cell>
          <cell r="FW137" t="str">
            <v>nd</v>
          </cell>
          <cell r="FX137">
            <v>0.124475</v>
          </cell>
          <cell r="FY137">
            <v>1.6007100000000001</v>
          </cell>
          <cell r="FZ137">
            <v>5.4668399999999995</v>
          </cell>
          <cell r="GA137">
            <v>0.577708</v>
          </cell>
          <cell r="GB137" t="str">
            <v>nd</v>
          </cell>
          <cell r="GC137">
            <v>0</v>
          </cell>
          <cell r="GD137">
            <v>0</v>
          </cell>
          <cell r="GE137" t="str">
            <v>nd</v>
          </cell>
          <cell r="GF137">
            <v>0.60182599999999997</v>
          </cell>
          <cell r="GG137">
            <v>2.7621199999999999</v>
          </cell>
          <cell r="GH137">
            <v>1.1332200000000001</v>
          </cell>
          <cell r="GI137">
            <v>6.5999383999999992</v>
          </cell>
          <cell r="GJ137">
            <v>9.4499437999999998</v>
          </cell>
          <cell r="GK137">
            <v>1.36653</v>
          </cell>
          <cell r="GL137" t="str">
            <v>nd</v>
          </cell>
          <cell r="GM137">
            <v>0</v>
          </cell>
          <cell r="GN137">
            <v>0.52230699999999997</v>
          </cell>
          <cell r="GO137">
            <v>4.8493300000000001</v>
          </cell>
          <cell r="GP137">
            <v>11.838102899999999</v>
          </cell>
          <cell r="GQ137">
            <v>15.320307699999999</v>
          </cell>
          <cell r="GR137">
            <v>0</v>
          </cell>
          <cell r="GS137">
            <v>0</v>
          </cell>
          <cell r="GT137" t="str">
            <v>nd</v>
          </cell>
          <cell r="GU137">
            <v>0.76517800000000002</v>
          </cell>
          <cell r="GV137">
            <v>9.0195243999999999</v>
          </cell>
          <cell r="GW137">
            <v>17.3777589</v>
          </cell>
          <cell r="GX137" t="str">
            <v>nd</v>
          </cell>
          <cell r="GY137">
            <v>0</v>
          </cell>
          <cell r="GZ137">
            <v>0</v>
          </cell>
          <cell r="HA137" t="str">
            <v>nd</v>
          </cell>
          <cell r="HB137">
            <v>11.675916899999999</v>
          </cell>
          <cell r="HC137">
            <v>5.2786399999999993</v>
          </cell>
          <cell r="HD137">
            <v>0</v>
          </cell>
          <cell r="HE137">
            <v>0.60101199999999999</v>
          </cell>
          <cell r="HF137">
            <v>0</v>
          </cell>
          <cell r="HG137">
            <v>0.23793299999999998</v>
          </cell>
          <cell r="HH137" t="str">
            <v>nd</v>
          </cell>
          <cell r="HI137">
            <v>0</v>
          </cell>
          <cell r="HJ137">
            <v>0</v>
          </cell>
          <cell r="HK137" t="str">
            <v>nd</v>
          </cell>
          <cell r="HL137">
            <v>1.01444</v>
          </cell>
          <cell r="HM137">
            <v>18.357910699999998</v>
          </cell>
          <cell r="HN137">
            <v>2.3460399999999999</v>
          </cell>
          <cell r="HO137" t="str">
            <v>nd</v>
          </cell>
          <cell r="HP137">
            <v>0</v>
          </cell>
          <cell r="HQ137">
            <v>0</v>
          </cell>
          <cell r="HR137">
            <v>2.36009</v>
          </cell>
          <cell r="HS137">
            <v>26.958508300000002</v>
          </cell>
          <cell r="HT137">
            <v>3.7189600000000005</v>
          </cell>
          <cell r="HU137">
            <v>0</v>
          </cell>
          <cell r="HV137">
            <v>0</v>
          </cell>
          <cell r="HW137">
            <v>0</v>
          </cell>
          <cell r="HX137">
            <v>2.0913900000000001</v>
          </cell>
          <cell r="HY137">
            <v>18.189042699999998</v>
          </cell>
          <cell r="HZ137">
            <v>6.5619897999999992</v>
          </cell>
          <cell r="IA137">
            <v>0</v>
          </cell>
          <cell r="IB137">
            <v>0</v>
          </cell>
          <cell r="IC137">
            <v>0</v>
          </cell>
          <cell r="ID137">
            <v>0.92048000000000008</v>
          </cell>
          <cell r="IE137">
            <v>15.551290100000001</v>
          </cell>
          <cell r="IF137">
            <v>0.81808000000000003</v>
          </cell>
          <cell r="IG137">
            <v>0</v>
          </cell>
          <cell r="IH137">
            <v>0.69287200000000004</v>
          </cell>
          <cell r="II137">
            <v>0</v>
          </cell>
          <cell r="IJ137">
            <v>0.25217400000000001</v>
          </cell>
          <cell r="IK137" t="str">
            <v>nd</v>
          </cell>
          <cell r="IL137" t="str">
            <v>nd</v>
          </cell>
          <cell r="IM137" t="str">
            <v>nd</v>
          </cell>
          <cell r="IN137">
            <v>0</v>
          </cell>
          <cell r="IO137">
            <v>7.9878610999999999</v>
          </cell>
          <cell r="IP137">
            <v>9.784243</v>
          </cell>
          <cell r="IQ137">
            <v>3.7445499999999998</v>
          </cell>
          <cell r="IR137">
            <v>0</v>
          </cell>
          <cell r="IS137" t="str">
            <v>nd</v>
          </cell>
          <cell r="IT137" t="str">
            <v>nd</v>
          </cell>
          <cell r="IU137">
            <v>4.48489</v>
          </cell>
          <cell r="IV137">
            <v>23.716119799999998</v>
          </cell>
          <cell r="IW137">
            <v>4.5271800000000004</v>
          </cell>
          <cell r="IX137">
            <v>0</v>
          </cell>
          <cell r="IY137">
            <v>0</v>
          </cell>
          <cell r="IZ137">
            <v>0.28693600000000002</v>
          </cell>
          <cell r="JA137">
            <v>2.37581</v>
          </cell>
          <cell r="JB137">
            <v>18.7671478</v>
          </cell>
          <cell r="JC137">
            <v>5.6794799999999999</v>
          </cell>
          <cell r="JD137">
            <v>0</v>
          </cell>
          <cell r="JE137">
            <v>0</v>
          </cell>
          <cell r="JF137">
            <v>0</v>
          </cell>
          <cell r="JG137">
            <v>1.5080199999999999</v>
          </cell>
          <cell r="JH137">
            <v>13.468047499999999</v>
          </cell>
          <cell r="JI137">
            <v>2.27305</v>
          </cell>
          <cell r="JJ137">
            <v>0</v>
          </cell>
          <cell r="JK137">
            <v>0.20873900000000001</v>
          </cell>
          <cell r="JL137">
            <v>0</v>
          </cell>
          <cell r="JM137">
            <v>0</v>
          </cell>
          <cell r="JN137">
            <v>0.84063999999999994</v>
          </cell>
          <cell r="JO137">
            <v>0</v>
          </cell>
          <cell r="JP137">
            <v>0</v>
          </cell>
          <cell r="JQ137">
            <v>0</v>
          </cell>
          <cell r="JR137">
            <v>0</v>
          </cell>
          <cell r="JS137">
            <v>7.0424908999999998</v>
          </cell>
          <cell r="JT137">
            <v>14.581175699999999</v>
          </cell>
          <cell r="JU137">
            <v>0</v>
          </cell>
          <cell r="JV137">
            <v>0</v>
          </cell>
          <cell r="JW137">
            <v>0</v>
          </cell>
          <cell r="JX137">
            <v>0</v>
          </cell>
          <cell r="JY137">
            <v>0.22586400000000001</v>
          </cell>
          <cell r="JZ137">
            <v>32.544572100000003</v>
          </cell>
          <cell r="KA137">
            <v>0</v>
          </cell>
          <cell r="KB137">
            <v>0</v>
          </cell>
          <cell r="KC137">
            <v>0</v>
          </cell>
          <cell r="KD137">
            <v>0</v>
          </cell>
          <cell r="KE137">
            <v>0.60309699999999999</v>
          </cell>
          <cell r="KF137">
            <v>26.852343400000002</v>
          </cell>
          <cell r="KG137">
            <v>0</v>
          </cell>
          <cell r="KH137">
            <v>0</v>
          </cell>
          <cell r="KI137">
            <v>0</v>
          </cell>
          <cell r="KJ137">
            <v>0</v>
          </cell>
          <cell r="KK137">
            <v>0</v>
          </cell>
          <cell r="KL137">
            <v>17.101079899999998</v>
          </cell>
          <cell r="KM137">
            <v>62</v>
          </cell>
          <cell r="KN137">
            <v>14.399999999999999</v>
          </cell>
          <cell r="KO137">
            <v>9.3000000000000007</v>
          </cell>
          <cell r="KP137">
            <v>6.2</v>
          </cell>
          <cell r="KQ137">
            <v>7.8</v>
          </cell>
          <cell r="KR137">
            <v>0.3</v>
          </cell>
          <cell r="KS137">
            <v>60.3</v>
          </cell>
          <cell r="KT137">
            <v>14.899999999999999</v>
          </cell>
          <cell r="KU137">
            <v>9.7000000000000011</v>
          </cell>
          <cell r="KV137">
            <v>6.3</v>
          </cell>
          <cell r="KW137">
            <v>8.5</v>
          </cell>
          <cell r="KX137">
            <v>0.2</v>
          </cell>
          <cell r="KY137"/>
          <cell r="KZ137"/>
          <cell r="LA137"/>
          <cell r="LB137"/>
          <cell r="LC137"/>
          <cell r="LD137"/>
          <cell r="LE137"/>
          <cell r="LF137"/>
          <cell r="LG137"/>
          <cell r="LH137"/>
          <cell r="LI137"/>
          <cell r="LJ137"/>
          <cell r="LK137"/>
          <cell r="LL137"/>
          <cell r="LM137"/>
          <cell r="LN137"/>
          <cell r="LO137"/>
        </row>
        <row r="138">
          <cell r="A138" t="str">
            <v>EnsIZ</v>
          </cell>
          <cell r="B138" t="str">
            <v>138</v>
          </cell>
          <cell r="C138" t="str">
            <v>NAF 38</v>
          </cell>
          <cell r="D138" t="str">
            <v>IZ</v>
          </cell>
          <cell r="E138" t="str">
            <v/>
          </cell>
          <cell r="F138">
            <v>12.2</v>
          </cell>
          <cell r="G138">
            <v>44.9</v>
          </cell>
          <cell r="H138">
            <v>30.8</v>
          </cell>
          <cell r="I138">
            <v>9.7000000000000011</v>
          </cell>
          <cell r="J138">
            <v>2.4</v>
          </cell>
          <cell r="K138">
            <v>41.4</v>
          </cell>
          <cell r="L138">
            <v>53</v>
          </cell>
          <cell r="M138">
            <v>3</v>
          </cell>
          <cell r="N138">
            <v>2.6</v>
          </cell>
          <cell r="O138">
            <v>48.4</v>
          </cell>
          <cell r="P138">
            <v>32.5</v>
          </cell>
          <cell r="Q138">
            <v>6.4</v>
          </cell>
          <cell r="R138">
            <v>3.5999999999999996</v>
          </cell>
          <cell r="S138">
            <v>5</v>
          </cell>
          <cell r="T138">
            <v>34</v>
          </cell>
          <cell r="U138">
            <v>29.4</v>
          </cell>
          <cell r="V138">
            <v>15.4</v>
          </cell>
          <cell r="W138">
            <v>28.1</v>
          </cell>
          <cell r="X138">
            <v>68.2</v>
          </cell>
          <cell r="Y138">
            <v>3.8</v>
          </cell>
          <cell r="Z138">
            <v>1.5</v>
          </cell>
          <cell r="AA138">
            <v>41.4</v>
          </cell>
          <cell r="AB138">
            <v>2.1999999999999997</v>
          </cell>
          <cell r="AC138">
            <v>73.5</v>
          </cell>
          <cell r="AD138">
            <v>15.299999999999999</v>
          </cell>
          <cell r="AE138">
            <v>85.3</v>
          </cell>
          <cell r="AF138">
            <v>14.7</v>
          </cell>
          <cell r="AG138">
            <v>28.799999999999997</v>
          </cell>
          <cell r="AH138">
            <v>71.2</v>
          </cell>
          <cell r="AI138">
            <v>37.6</v>
          </cell>
          <cell r="AJ138">
            <v>47.5</v>
          </cell>
          <cell r="AK138">
            <v>3.8</v>
          </cell>
          <cell r="AL138">
            <v>4.2</v>
          </cell>
          <cell r="AM138">
            <v>6.9</v>
          </cell>
          <cell r="AN138">
            <v>16.900000000000002</v>
          </cell>
          <cell r="AO138">
            <v>2.1</v>
          </cell>
          <cell r="AP138">
            <v>5.4</v>
          </cell>
          <cell r="AQ138">
            <v>68.300000000000011</v>
          </cell>
          <cell r="AR138">
            <v>7.3</v>
          </cell>
          <cell r="AS138">
            <v>44.7</v>
          </cell>
          <cell r="AT138">
            <v>11.5</v>
          </cell>
          <cell r="AU138">
            <v>13.600000000000001</v>
          </cell>
          <cell r="AV138">
            <v>5.7</v>
          </cell>
          <cell r="AW138">
            <v>16.400000000000002</v>
          </cell>
          <cell r="AX138">
            <v>8</v>
          </cell>
          <cell r="AY138" t="str">
            <v>nd</v>
          </cell>
          <cell r="AZ138">
            <v>1.3</v>
          </cell>
          <cell r="BA138">
            <v>0.89999999999999991</v>
          </cell>
          <cell r="BB138">
            <v>1.3</v>
          </cell>
          <cell r="BC138">
            <v>30.599999999999998</v>
          </cell>
          <cell r="BD138">
            <v>65.8</v>
          </cell>
          <cell r="BE138">
            <v>11.600000000000001</v>
          </cell>
          <cell r="BF138">
            <v>18.399999999999999</v>
          </cell>
          <cell r="BG138">
            <v>11.899999999999999</v>
          </cell>
          <cell r="BH138">
            <v>7.9</v>
          </cell>
          <cell r="BI138">
            <v>16.7</v>
          </cell>
          <cell r="BJ138">
            <v>33.4</v>
          </cell>
          <cell r="BK138">
            <v>0</v>
          </cell>
          <cell r="BL138">
            <v>0</v>
          </cell>
          <cell r="BM138">
            <v>0</v>
          </cell>
          <cell r="BN138">
            <v>8</v>
          </cell>
          <cell r="BO138">
            <v>56.399999999999991</v>
          </cell>
          <cell r="BP138">
            <v>35.699999999999996</v>
          </cell>
          <cell r="BQ138">
            <v>0.5</v>
          </cell>
          <cell r="BR138">
            <v>0.4</v>
          </cell>
          <cell r="BS138">
            <v>0.70000000000000007</v>
          </cell>
          <cell r="BT138">
            <v>25.5</v>
          </cell>
          <cell r="BU138">
            <v>36.700000000000003</v>
          </cell>
          <cell r="BV138">
            <v>36.199999999999996</v>
          </cell>
          <cell r="BW138">
            <v>0</v>
          </cell>
          <cell r="BX138">
            <v>0</v>
          </cell>
          <cell r="BY138">
            <v>0</v>
          </cell>
          <cell r="BZ138" t="str">
            <v>nd</v>
          </cell>
          <cell r="CA138">
            <v>2.1</v>
          </cell>
          <cell r="CB138">
            <v>94.3</v>
          </cell>
          <cell r="CC138">
            <v>2.8000000000000003</v>
          </cell>
          <cell r="CD138">
            <v>6.9</v>
          </cell>
          <cell r="CE138">
            <v>0.8</v>
          </cell>
          <cell r="CF138">
            <v>0.8</v>
          </cell>
          <cell r="CG138">
            <v>0</v>
          </cell>
          <cell r="CH138">
            <v>17.100000000000001</v>
          </cell>
          <cell r="CI138">
            <v>2.1999999999999997</v>
          </cell>
          <cell r="CJ138">
            <v>76.900000000000006</v>
          </cell>
          <cell r="CK138">
            <v>17.100000000000001</v>
          </cell>
          <cell r="CL138">
            <v>1.3</v>
          </cell>
          <cell r="CM138" t="str">
            <v>nd</v>
          </cell>
          <cell r="CN138" t="str">
            <v>nd</v>
          </cell>
          <cell r="CO138">
            <v>81.899999999999991</v>
          </cell>
          <cell r="CP138">
            <v>4.9000000000000004</v>
          </cell>
          <cell r="CQ138">
            <v>24.2</v>
          </cell>
          <cell r="CR138">
            <v>26.3</v>
          </cell>
          <cell r="CS138">
            <v>44.6</v>
          </cell>
          <cell r="CT138">
            <v>60.9</v>
          </cell>
          <cell r="CU138">
            <v>39.1</v>
          </cell>
          <cell r="CV138">
            <v>35.699999999999996</v>
          </cell>
          <cell r="CW138">
            <v>64.3</v>
          </cell>
          <cell r="CX138">
            <v>33.1</v>
          </cell>
          <cell r="CY138">
            <v>19.600000000000001</v>
          </cell>
          <cell r="CZ138">
            <v>47.3</v>
          </cell>
          <cell r="DA138">
            <v>34.4</v>
          </cell>
          <cell r="DB138">
            <v>25.1</v>
          </cell>
          <cell r="DC138">
            <v>22.2</v>
          </cell>
          <cell r="DD138">
            <v>3.2</v>
          </cell>
          <cell r="DE138">
            <v>35.099999999999994</v>
          </cell>
          <cell r="DF138">
            <v>2</v>
          </cell>
          <cell r="DG138">
            <v>3</v>
          </cell>
          <cell r="DH138">
            <v>18.7</v>
          </cell>
          <cell r="DI138">
            <v>11.3</v>
          </cell>
          <cell r="DJ138">
            <v>33.800000000000004</v>
          </cell>
          <cell r="DK138">
            <v>31.3</v>
          </cell>
          <cell r="DL138">
            <v>5.6000000000000005</v>
          </cell>
          <cell r="DM138">
            <v>50.6</v>
          </cell>
          <cell r="DN138">
            <v>4.1000000000000005</v>
          </cell>
          <cell r="DO138">
            <v>47</v>
          </cell>
          <cell r="DP138">
            <v>6.7</v>
          </cell>
          <cell r="DQ138">
            <v>1</v>
          </cell>
          <cell r="DR138">
            <v>4.2</v>
          </cell>
          <cell r="DS138">
            <v>21.5</v>
          </cell>
          <cell r="DT138">
            <v>29.9</v>
          </cell>
          <cell r="DU138">
            <v>1.4446999999999999</v>
          </cell>
          <cell r="DV138">
            <v>3.8125600000000004</v>
          </cell>
          <cell r="DW138" t="str">
            <v>nd</v>
          </cell>
          <cell r="DX138">
            <v>0.80408000000000013</v>
          </cell>
          <cell r="DY138">
            <v>4.3171900000000001</v>
          </cell>
          <cell r="DZ138">
            <v>13.391789800000002</v>
          </cell>
          <cell r="EA138">
            <v>6.3154968000000009</v>
          </cell>
          <cell r="EB138">
            <v>9.4185607000000005</v>
          </cell>
          <cell r="EC138">
            <v>3.4847799999999998</v>
          </cell>
          <cell r="ED138">
            <v>10.806184500000001</v>
          </cell>
          <cell r="EE138">
            <v>1.6691799999999999</v>
          </cell>
          <cell r="EF138">
            <v>21.423750999999999</v>
          </cell>
          <cell r="EG138">
            <v>3.8615700000000004</v>
          </cell>
          <cell r="EH138">
            <v>2.1345900000000002</v>
          </cell>
          <cell r="EI138">
            <v>0.9778</v>
          </cell>
          <cell r="EJ138">
            <v>1.24647</v>
          </cell>
          <cell r="EK138">
            <v>1.38774</v>
          </cell>
          <cell r="EL138">
            <v>7.3076610000000004</v>
          </cell>
          <cell r="EM138">
            <v>0.42701800000000001</v>
          </cell>
          <cell r="EN138" t="str">
            <v>nd</v>
          </cell>
          <cell r="EO138" t="str">
            <v>nd</v>
          </cell>
          <cell r="EP138" t="str">
            <v>nd</v>
          </cell>
          <cell r="EQ138">
            <v>0.64782899999999999</v>
          </cell>
          <cell r="ER138">
            <v>1.1607499999999999</v>
          </cell>
          <cell r="ES138" t="str">
            <v>nd</v>
          </cell>
          <cell r="ET138" t="str">
            <v>nd</v>
          </cell>
          <cell r="EU138" t="str">
            <v>nd</v>
          </cell>
          <cell r="EV138" t="str">
            <v>nd</v>
          </cell>
          <cell r="EW138">
            <v>0</v>
          </cell>
          <cell r="EX138">
            <v>0</v>
          </cell>
          <cell r="EY138">
            <v>5.4843200000000003</v>
          </cell>
          <cell r="EZ138" t="str">
            <v>nd</v>
          </cell>
          <cell r="FA138">
            <v>0.661937</v>
          </cell>
          <cell r="FB138">
            <v>6.2034000000000002</v>
          </cell>
          <cell r="FC138" t="str">
            <v>nd</v>
          </cell>
          <cell r="FD138" t="str">
            <v>nd</v>
          </cell>
          <cell r="FE138" t="str">
            <v>nd</v>
          </cell>
          <cell r="FF138">
            <v>0.50803200000000004</v>
          </cell>
          <cell r="FG138">
            <v>20.3007718</v>
          </cell>
          <cell r="FH138">
            <v>23.633421299999998</v>
          </cell>
          <cell r="FI138">
            <v>0</v>
          </cell>
          <cell r="FJ138" t="str">
            <v>nd</v>
          </cell>
          <cell r="FK138" t="str">
            <v>nd</v>
          </cell>
          <cell r="FL138" t="str">
            <v>nd</v>
          </cell>
          <cell r="FM138">
            <v>3.05945</v>
          </cell>
          <cell r="FN138">
            <v>27.2987307</v>
          </cell>
          <cell r="FO138">
            <v>0</v>
          </cell>
          <cell r="FP138">
            <v>1.03254</v>
          </cell>
          <cell r="FQ138">
            <v>0</v>
          </cell>
          <cell r="FR138">
            <v>0</v>
          </cell>
          <cell r="FS138">
            <v>1.23255</v>
          </cell>
          <cell r="FT138">
            <v>7.3201768999999999</v>
          </cell>
          <cell r="FU138">
            <v>0</v>
          </cell>
          <cell r="FV138">
            <v>0</v>
          </cell>
          <cell r="FW138" t="str">
            <v>nd</v>
          </cell>
          <cell r="FX138">
            <v>0</v>
          </cell>
          <cell r="FY138" t="str">
            <v>nd</v>
          </cell>
          <cell r="FZ138">
            <v>1.3499099999999999</v>
          </cell>
          <cell r="GA138">
            <v>7.7576099999999997</v>
          </cell>
          <cell r="GB138" t="str">
            <v>nd</v>
          </cell>
          <cell r="GC138">
            <v>0.60006099999999996</v>
          </cell>
          <cell r="GD138">
            <v>0.52085700000000001</v>
          </cell>
          <cell r="GE138">
            <v>1.1453500000000001</v>
          </cell>
          <cell r="GF138">
            <v>2.27732</v>
          </cell>
          <cell r="GG138">
            <v>13.032205299999999</v>
          </cell>
          <cell r="GH138">
            <v>9.4665227000000005</v>
          </cell>
          <cell r="GI138">
            <v>4.4806400000000002</v>
          </cell>
          <cell r="GJ138">
            <v>6.8202990000000003</v>
          </cell>
          <cell r="GK138">
            <v>9.0307679000000007</v>
          </cell>
          <cell r="GL138">
            <v>1.02319</v>
          </cell>
          <cell r="GM138">
            <v>2.6465900000000002</v>
          </cell>
          <cell r="GN138">
            <v>1.2426299999999999</v>
          </cell>
          <cell r="GO138">
            <v>2.5419899999999997</v>
          </cell>
          <cell r="GP138">
            <v>7.2923109999999998</v>
          </cell>
          <cell r="GQ138">
            <v>15.7927134</v>
          </cell>
          <cell r="GR138" t="str">
            <v>nd</v>
          </cell>
          <cell r="GS138" t="str">
            <v>nd</v>
          </cell>
          <cell r="GT138" t="str">
            <v>nd</v>
          </cell>
          <cell r="GU138" t="str">
            <v>nd</v>
          </cell>
          <cell r="GV138">
            <v>1.6297200000000001</v>
          </cell>
          <cell r="GW138">
            <v>6.1865999999999994</v>
          </cell>
          <cell r="GX138" t="str">
            <v>nd</v>
          </cell>
          <cell r="GY138">
            <v>0</v>
          </cell>
          <cell r="GZ138">
            <v>0</v>
          </cell>
          <cell r="HA138">
            <v>0</v>
          </cell>
          <cell r="HB138">
            <v>0.71495699999999995</v>
          </cell>
          <cell r="HC138">
            <v>1.3014100000000002</v>
          </cell>
          <cell r="HD138">
            <v>0</v>
          </cell>
          <cell r="HE138">
            <v>5.9221000000000004</v>
          </cell>
          <cell r="HF138">
            <v>0</v>
          </cell>
          <cell r="HG138" t="str">
            <v>nd</v>
          </cell>
          <cell r="HH138">
            <v>5.9059300000000006</v>
          </cell>
          <cell r="HI138">
            <v>0</v>
          </cell>
          <cell r="HJ138">
            <v>0</v>
          </cell>
          <cell r="HK138">
            <v>0</v>
          </cell>
          <cell r="HL138">
            <v>5.7056500000000003</v>
          </cell>
          <cell r="HM138">
            <v>27.321828500000002</v>
          </cell>
          <cell r="HN138">
            <v>12.378327199999999</v>
          </cell>
          <cell r="HO138">
            <v>0</v>
          </cell>
          <cell r="HP138">
            <v>0</v>
          </cell>
          <cell r="HQ138">
            <v>0</v>
          </cell>
          <cell r="HR138">
            <v>1.1059400000000001</v>
          </cell>
          <cell r="HS138">
            <v>14.502203399999999</v>
          </cell>
          <cell r="HT138">
            <v>14.1753885</v>
          </cell>
          <cell r="HU138">
            <v>0</v>
          </cell>
          <cell r="HV138">
            <v>0</v>
          </cell>
          <cell r="HW138">
            <v>0</v>
          </cell>
          <cell r="HX138" t="str">
            <v>nd</v>
          </cell>
          <cell r="HY138">
            <v>7.0210218000000006</v>
          </cell>
          <cell r="HZ138">
            <v>3.2286799999999998</v>
          </cell>
          <cell r="IA138">
            <v>0</v>
          </cell>
          <cell r="IB138">
            <v>0</v>
          </cell>
          <cell r="IC138">
            <v>0</v>
          </cell>
          <cell r="ID138" t="str">
            <v>nd</v>
          </cell>
          <cell r="IE138">
            <v>1.6765599999999998</v>
          </cell>
          <cell r="IF138">
            <v>0</v>
          </cell>
          <cell r="IG138" t="str">
            <v>nd</v>
          </cell>
          <cell r="IH138">
            <v>3.4640900000000001</v>
          </cell>
          <cell r="II138">
            <v>0</v>
          </cell>
          <cell r="IJ138">
            <v>1.9886899999999998</v>
          </cell>
          <cell r="IK138">
            <v>6.4065282999999997</v>
          </cell>
          <cell r="IL138">
            <v>0</v>
          </cell>
          <cell r="IM138" t="str">
            <v>nd</v>
          </cell>
          <cell r="IN138" t="str">
            <v>nd</v>
          </cell>
          <cell r="IO138">
            <v>19.1995307</v>
          </cell>
          <cell r="IP138">
            <v>12.2244539</v>
          </cell>
          <cell r="IQ138">
            <v>12.9177692</v>
          </cell>
          <cell r="IR138" t="str">
            <v>nd</v>
          </cell>
          <cell r="IS138" t="str">
            <v>nd</v>
          </cell>
          <cell r="IT138" t="str">
            <v>nd</v>
          </cell>
          <cell r="IU138">
            <v>3.1670999999999996</v>
          </cell>
          <cell r="IV138">
            <v>13.729443199999999</v>
          </cell>
          <cell r="IW138">
            <v>12.800582299999999</v>
          </cell>
          <cell r="IX138">
            <v>0</v>
          </cell>
          <cell r="IY138" t="str">
            <v>nd</v>
          </cell>
          <cell r="IZ138">
            <v>0</v>
          </cell>
          <cell r="JA138">
            <v>0.86510000000000009</v>
          </cell>
          <cell r="JB138">
            <v>5.6599399999999997</v>
          </cell>
          <cell r="JC138">
            <v>3.6759200000000001</v>
          </cell>
          <cell r="JD138">
            <v>0</v>
          </cell>
          <cell r="JE138">
            <v>0</v>
          </cell>
          <cell r="JF138">
            <v>0</v>
          </cell>
          <cell r="JG138" t="str">
            <v>nd</v>
          </cell>
          <cell r="JH138">
            <v>1.6984599999999999</v>
          </cell>
          <cell r="JI138" t="str">
            <v>nd</v>
          </cell>
          <cell r="JJ138">
            <v>0</v>
          </cell>
          <cell r="JK138">
            <v>0</v>
          </cell>
          <cell r="JL138">
            <v>0</v>
          </cell>
          <cell r="JM138">
            <v>0</v>
          </cell>
          <cell r="JN138">
            <v>12.264462700000001</v>
          </cell>
          <cell r="JO138">
            <v>0</v>
          </cell>
          <cell r="JP138">
            <v>0</v>
          </cell>
          <cell r="JQ138">
            <v>0</v>
          </cell>
          <cell r="JR138" t="str">
            <v>nd</v>
          </cell>
          <cell r="JS138">
            <v>0.81502999999999992</v>
          </cell>
          <cell r="JT138">
            <v>40.7146702</v>
          </cell>
          <cell r="JU138">
            <v>0</v>
          </cell>
          <cell r="JV138">
            <v>0</v>
          </cell>
          <cell r="JW138">
            <v>0</v>
          </cell>
          <cell r="JX138">
            <v>0</v>
          </cell>
          <cell r="JY138">
            <v>1.32359</v>
          </cell>
          <cell r="JZ138">
            <v>29.419722700000001</v>
          </cell>
          <cell r="KA138">
            <v>0</v>
          </cell>
          <cell r="KB138">
            <v>0</v>
          </cell>
          <cell r="KC138">
            <v>0</v>
          </cell>
          <cell r="KD138">
            <v>0</v>
          </cell>
          <cell r="KE138">
            <v>0</v>
          </cell>
          <cell r="KF138">
            <v>9.621998099999999</v>
          </cell>
          <cell r="KG138">
            <v>0</v>
          </cell>
          <cell r="KH138">
            <v>0</v>
          </cell>
          <cell r="KI138">
            <v>0</v>
          </cell>
          <cell r="KJ138">
            <v>0</v>
          </cell>
          <cell r="KK138">
            <v>0</v>
          </cell>
          <cell r="KL138">
            <v>2.2696800000000001</v>
          </cell>
          <cell r="KM138">
            <v>56.100000000000009</v>
          </cell>
          <cell r="KN138">
            <v>3.2</v>
          </cell>
          <cell r="KO138">
            <v>28.4</v>
          </cell>
          <cell r="KP138">
            <v>4.5999999999999996</v>
          </cell>
          <cell r="KQ138">
            <v>6.9</v>
          </cell>
          <cell r="KR138">
            <v>0.70000000000000007</v>
          </cell>
          <cell r="KS138">
            <v>54.900000000000006</v>
          </cell>
          <cell r="KT138">
            <v>3.2</v>
          </cell>
          <cell r="KU138">
            <v>27.400000000000002</v>
          </cell>
          <cell r="KV138">
            <v>5</v>
          </cell>
          <cell r="KW138">
            <v>8.6999999999999993</v>
          </cell>
          <cell r="KX138">
            <v>0.89999999999999991</v>
          </cell>
          <cell r="KY138"/>
          <cell r="KZ138"/>
          <cell r="LA138"/>
          <cell r="LB138"/>
          <cell r="LC138"/>
          <cell r="LD138"/>
          <cell r="LE138"/>
          <cell r="LF138"/>
          <cell r="LG138"/>
          <cell r="LH138"/>
          <cell r="LI138"/>
          <cell r="LJ138"/>
          <cell r="LK138"/>
          <cell r="LL138"/>
          <cell r="LM138"/>
          <cell r="LN138"/>
          <cell r="LO138"/>
        </row>
        <row r="139">
          <cell r="A139" t="str">
            <v>EnsJA</v>
          </cell>
          <cell r="B139" t="str">
            <v>139</v>
          </cell>
          <cell r="C139" t="str">
            <v>NAF 38</v>
          </cell>
          <cell r="D139" t="str">
            <v>JA</v>
          </cell>
          <cell r="E139" t="str">
            <v/>
          </cell>
          <cell r="F139">
            <v>0.8</v>
          </cell>
          <cell r="G139">
            <v>14.2</v>
          </cell>
          <cell r="H139">
            <v>42.8</v>
          </cell>
          <cell r="I139">
            <v>40</v>
          </cell>
          <cell r="J139">
            <v>2.1999999999999997</v>
          </cell>
          <cell r="K139">
            <v>71</v>
          </cell>
          <cell r="L139">
            <v>12.4</v>
          </cell>
          <cell r="M139">
            <v>5.0999999999999996</v>
          </cell>
          <cell r="N139">
            <v>11.5</v>
          </cell>
          <cell r="O139">
            <v>46.7</v>
          </cell>
          <cell r="P139">
            <v>30.7</v>
          </cell>
          <cell r="Q139">
            <v>5.5</v>
          </cell>
          <cell r="R139">
            <v>8.2000000000000011</v>
          </cell>
          <cell r="S139">
            <v>2.2999999999999998</v>
          </cell>
          <cell r="T139">
            <v>38</v>
          </cell>
          <cell r="U139">
            <v>6.2</v>
          </cell>
          <cell r="V139">
            <v>20.3</v>
          </cell>
          <cell r="W139">
            <v>10.8</v>
          </cell>
          <cell r="X139">
            <v>84.2</v>
          </cell>
          <cell r="Y139">
            <v>5</v>
          </cell>
          <cell r="Z139">
            <v>7.7</v>
          </cell>
          <cell r="AA139">
            <v>84.6</v>
          </cell>
          <cell r="AB139" t="str">
            <v>nd</v>
          </cell>
          <cell r="AC139">
            <v>39.4</v>
          </cell>
          <cell r="AD139">
            <v>11.5</v>
          </cell>
          <cell r="AE139">
            <v>51.7</v>
          </cell>
          <cell r="AF139">
            <v>48.3</v>
          </cell>
          <cell r="AG139">
            <v>37.700000000000003</v>
          </cell>
          <cell r="AH139">
            <v>62.3</v>
          </cell>
          <cell r="AI139">
            <v>58.599999999999994</v>
          </cell>
          <cell r="AJ139">
            <v>14.499999999999998</v>
          </cell>
          <cell r="AK139">
            <v>3.6999999999999997</v>
          </cell>
          <cell r="AL139">
            <v>15.6</v>
          </cell>
          <cell r="AM139">
            <v>7.6</v>
          </cell>
          <cell r="AN139">
            <v>21.2</v>
          </cell>
          <cell r="AO139">
            <v>5.6000000000000005</v>
          </cell>
          <cell r="AP139">
            <v>6.4</v>
          </cell>
          <cell r="AQ139">
            <v>59.699999999999996</v>
          </cell>
          <cell r="AR139">
            <v>7.0000000000000009</v>
          </cell>
          <cell r="AS139">
            <v>12.2</v>
          </cell>
          <cell r="AT139">
            <v>13.100000000000001</v>
          </cell>
          <cell r="AU139">
            <v>14.000000000000002</v>
          </cell>
          <cell r="AV139">
            <v>30.7</v>
          </cell>
          <cell r="AW139">
            <v>17.899999999999999</v>
          </cell>
          <cell r="AX139">
            <v>12</v>
          </cell>
          <cell r="AY139">
            <v>27</v>
          </cell>
          <cell r="AZ139">
            <v>32.4</v>
          </cell>
          <cell r="BA139">
            <v>11.5</v>
          </cell>
          <cell r="BB139">
            <v>11.4</v>
          </cell>
          <cell r="BC139">
            <v>9.3000000000000007</v>
          </cell>
          <cell r="BD139">
            <v>8.4</v>
          </cell>
          <cell r="BE139" t="str">
            <v>nd</v>
          </cell>
          <cell r="BF139">
            <v>2.8000000000000003</v>
          </cell>
          <cell r="BG139">
            <v>1.7000000000000002</v>
          </cell>
          <cell r="BH139">
            <v>2.5</v>
          </cell>
          <cell r="BI139">
            <v>31.6</v>
          </cell>
          <cell r="BJ139">
            <v>61.199999999999996</v>
          </cell>
          <cell r="BK139">
            <v>0</v>
          </cell>
          <cell r="BL139">
            <v>0</v>
          </cell>
          <cell r="BM139">
            <v>0</v>
          </cell>
          <cell r="BN139">
            <v>2.9000000000000004</v>
          </cell>
          <cell r="BO139">
            <v>69.199999999999989</v>
          </cell>
          <cell r="BP139">
            <v>27.800000000000004</v>
          </cell>
          <cell r="BQ139">
            <v>0</v>
          </cell>
          <cell r="BR139">
            <v>0</v>
          </cell>
          <cell r="BS139">
            <v>3.4000000000000004</v>
          </cell>
          <cell r="BT139">
            <v>13</v>
          </cell>
          <cell r="BU139">
            <v>67.400000000000006</v>
          </cell>
          <cell r="BV139">
            <v>16.2</v>
          </cell>
          <cell r="BW139">
            <v>0</v>
          </cell>
          <cell r="BX139">
            <v>0</v>
          </cell>
          <cell r="BY139">
            <v>0</v>
          </cell>
          <cell r="BZ139">
            <v>0</v>
          </cell>
          <cell r="CA139" t="str">
            <v>nd</v>
          </cell>
          <cell r="CB139">
            <v>99.8</v>
          </cell>
          <cell r="CC139">
            <v>3.5000000000000004</v>
          </cell>
          <cell r="CD139">
            <v>7.1</v>
          </cell>
          <cell r="CE139" t="str">
            <v>nd</v>
          </cell>
          <cell r="CF139" t="str">
            <v>nd</v>
          </cell>
          <cell r="CG139">
            <v>0</v>
          </cell>
          <cell r="CH139">
            <v>10.7</v>
          </cell>
          <cell r="CI139">
            <v>7.3</v>
          </cell>
          <cell r="CJ139">
            <v>78.100000000000009</v>
          </cell>
          <cell r="CK139">
            <v>17.899999999999999</v>
          </cell>
          <cell r="CL139">
            <v>6.8000000000000007</v>
          </cell>
          <cell r="CM139">
            <v>1.7999999999999998</v>
          </cell>
          <cell r="CN139">
            <v>1.7999999999999998</v>
          </cell>
          <cell r="CO139">
            <v>81.100000000000009</v>
          </cell>
          <cell r="CP139">
            <v>30.4</v>
          </cell>
          <cell r="CQ139">
            <v>11.5</v>
          </cell>
          <cell r="CR139">
            <v>9.5</v>
          </cell>
          <cell r="CS139">
            <v>48.5</v>
          </cell>
          <cell r="CT139">
            <v>33</v>
          </cell>
          <cell r="CU139">
            <v>67</v>
          </cell>
          <cell r="CV139">
            <v>31.6</v>
          </cell>
          <cell r="CW139">
            <v>68.400000000000006</v>
          </cell>
          <cell r="CX139">
            <v>30.2</v>
          </cell>
          <cell r="CY139">
            <v>15.8</v>
          </cell>
          <cell r="CZ139">
            <v>54</v>
          </cell>
          <cell r="DA139">
            <v>48.8</v>
          </cell>
          <cell r="DB139">
            <v>2.5</v>
          </cell>
          <cell r="DC139">
            <v>21.8</v>
          </cell>
          <cell r="DD139" t="str">
            <v>nd</v>
          </cell>
          <cell r="DE139">
            <v>40.699999999999996</v>
          </cell>
          <cell r="DF139">
            <v>11.600000000000001</v>
          </cell>
          <cell r="DG139">
            <v>4.2</v>
          </cell>
          <cell r="DH139">
            <v>16.3</v>
          </cell>
          <cell r="DI139">
            <v>19.3</v>
          </cell>
          <cell r="DJ139">
            <v>15</v>
          </cell>
          <cell r="DK139">
            <v>33.6</v>
          </cell>
          <cell r="DL139">
            <v>14.2</v>
          </cell>
          <cell r="DM139">
            <v>37.1</v>
          </cell>
          <cell r="DN139">
            <v>6.5</v>
          </cell>
          <cell r="DO139">
            <v>44.1</v>
          </cell>
          <cell r="DP139">
            <v>24.8</v>
          </cell>
          <cell r="DQ139">
            <v>7.3999999999999995</v>
          </cell>
          <cell r="DR139">
            <v>1.7000000000000002</v>
          </cell>
          <cell r="DS139">
            <v>22.5</v>
          </cell>
          <cell r="DT139">
            <v>19.8</v>
          </cell>
          <cell r="DU139" t="str">
            <v>nd</v>
          </cell>
          <cell r="DV139">
            <v>0</v>
          </cell>
          <cell r="DW139">
            <v>0</v>
          </cell>
          <cell r="DX139">
            <v>0</v>
          </cell>
          <cell r="DY139" t="str">
            <v>nd</v>
          </cell>
          <cell r="DZ139">
            <v>2.4578800000000003</v>
          </cell>
          <cell r="EA139">
            <v>2.0111599999999998</v>
          </cell>
          <cell r="EB139">
            <v>0.98133999999999999</v>
          </cell>
          <cell r="EC139">
            <v>4.3178900000000002</v>
          </cell>
          <cell r="ED139">
            <v>4.0101699999999996</v>
          </cell>
          <cell r="EE139">
            <v>0.76036799999999993</v>
          </cell>
          <cell r="EF139">
            <v>2.1011800000000003</v>
          </cell>
          <cell r="EG139">
            <v>8.8401373999999997</v>
          </cell>
          <cell r="EH139">
            <v>8.7619956000000006</v>
          </cell>
          <cell r="EI139">
            <v>13.673095900000002</v>
          </cell>
          <cell r="EJ139">
            <v>3.3100100000000001</v>
          </cell>
          <cell r="EK139">
            <v>4.8045799999999996</v>
          </cell>
          <cell r="EL139">
            <v>6.3288744999999995</v>
          </cell>
          <cell r="EM139">
            <v>2.2313700000000001</v>
          </cell>
          <cell r="EN139">
            <v>3.5496100000000004</v>
          </cell>
          <cell r="EO139">
            <v>12.6185998</v>
          </cell>
          <cell r="EP139">
            <v>9.8776232000000004</v>
          </cell>
          <cell r="EQ139">
            <v>6.3156477000000004</v>
          </cell>
          <cell r="ER139" t="str">
            <v>nd</v>
          </cell>
          <cell r="ES139" t="str">
            <v>nd</v>
          </cell>
          <cell r="ET139" t="str">
            <v>nd</v>
          </cell>
          <cell r="EU139" t="str">
            <v>nd</v>
          </cell>
          <cell r="EV139">
            <v>0.69922899999999999</v>
          </cell>
          <cell r="EW139">
            <v>0</v>
          </cell>
          <cell r="EX139">
            <v>0</v>
          </cell>
          <cell r="EY139" t="str">
            <v>nd</v>
          </cell>
          <cell r="EZ139">
            <v>0</v>
          </cell>
          <cell r="FA139">
            <v>0</v>
          </cell>
          <cell r="FB139" t="str">
            <v>nd</v>
          </cell>
          <cell r="FC139">
            <v>3.5578799999999999</v>
          </cell>
          <cell r="FD139">
            <v>1.6467499999999999</v>
          </cell>
          <cell r="FE139">
            <v>1.0023600000000001</v>
          </cell>
          <cell r="FF139">
            <v>3.5685599999999997</v>
          </cell>
          <cell r="FG139">
            <v>1.2949900000000001</v>
          </cell>
          <cell r="FH139">
            <v>2.9963900000000003</v>
          </cell>
          <cell r="FI139">
            <v>9.5324153999999997</v>
          </cell>
          <cell r="FJ139">
            <v>14.9735479</v>
          </cell>
          <cell r="FK139">
            <v>7.4584646000000001</v>
          </cell>
          <cell r="FL139">
            <v>5.6232199999999999</v>
          </cell>
          <cell r="FM139">
            <v>2.7621799999999999</v>
          </cell>
          <cell r="FN139">
            <v>3.0763400000000001</v>
          </cell>
          <cell r="FO139">
            <v>13.3879886</v>
          </cell>
          <cell r="FP139">
            <v>15.556215300000002</v>
          </cell>
          <cell r="FQ139">
            <v>2.3418899999999998</v>
          </cell>
          <cell r="FR139">
            <v>2.2309000000000001</v>
          </cell>
          <cell r="FS139">
            <v>4.1000399999999999</v>
          </cell>
          <cell r="FT139">
            <v>1.6147800000000001</v>
          </cell>
          <cell r="FU139" t="str">
            <v>nd</v>
          </cell>
          <cell r="FV139" t="str">
            <v>nd</v>
          </cell>
          <cell r="FW139">
            <v>0.724105</v>
          </cell>
          <cell r="FX139">
            <v>0</v>
          </cell>
          <cell r="FY139">
            <v>0.91388000000000003</v>
          </cell>
          <cell r="FZ139">
            <v>0</v>
          </cell>
          <cell r="GA139" t="str">
            <v>nd</v>
          </cell>
          <cell r="GB139" t="str">
            <v>nd</v>
          </cell>
          <cell r="GC139">
            <v>0</v>
          </cell>
          <cell r="GD139">
            <v>0</v>
          </cell>
          <cell r="GE139" t="str">
            <v>nd</v>
          </cell>
          <cell r="GF139" t="str">
            <v>nd</v>
          </cell>
          <cell r="GG139" t="str">
            <v>nd</v>
          </cell>
          <cell r="GH139" t="str">
            <v>nd</v>
          </cell>
          <cell r="GI139">
            <v>1.3743399999999999</v>
          </cell>
          <cell r="GJ139">
            <v>5.3492300000000004</v>
          </cell>
          <cell r="GK139">
            <v>3.6222699999999994</v>
          </cell>
          <cell r="GL139">
            <v>0</v>
          </cell>
          <cell r="GM139">
            <v>1.4833499999999999</v>
          </cell>
          <cell r="GN139">
            <v>1.1920999999999999</v>
          </cell>
          <cell r="GO139">
            <v>1.1139299999999999</v>
          </cell>
          <cell r="GP139">
            <v>18.863054500000001</v>
          </cell>
          <cell r="GQ139">
            <v>20.272066899999999</v>
          </cell>
          <cell r="GR139">
            <v>0</v>
          </cell>
          <cell r="GS139">
            <v>0</v>
          </cell>
          <cell r="GT139">
            <v>0</v>
          </cell>
          <cell r="GU139">
            <v>0</v>
          </cell>
          <cell r="GV139">
            <v>6.4329261999999998</v>
          </cell>
          <cell r="GW139">
            <v>34.361243800000004</v>
          </cell>
          <cell r="GX139">
            <v>0</v>
          </cell>
          <cell r="GY139">
            <v>0</v>
          </cell>
          <cell r="GZ139">
            <v>0</v>
          </cell>
          <cell r="HA139">
            <v>0</v>
          </cell>
          <cell r="HB139">
            <v>0.48661800000000005</v>
          </cell>
          <cell r="HC139">
            <v>2.6785700000000001</v>
          </cell>
          <cell r="HD139">
            <v>0</v>
          </cell>
          <cell r="HE139">
            <v>0</v>
          </cell>
          <cell r="HF139">
            <v>0</v>
          </cell>
          <cell r="HG139">
            <v>0</v>
          </cell>
          <cell r="HH139" t="str">
            <v>nd</v>
          </cell>
          <cell r="HI139">
            <v>0</v>
          </cell>
          <cell r="HJ139">
            <v>0</v>
          </cell>
          <cell r="HK139">
            <v>0</v>
          </cell>
          <cell r="HL139" t="str">
            <v>nd</v>
          </cell>
          <cell r="HM139">
            <v>7.5634690000000004</v>
          </cell>
          <cell r="HN139">
            <v>5.7870299999999997</v>
          </cell>
          <cell r="HO139">
            <v>0</v>
          </cell>
          <cell r="HP139">
            <v>0</v>
          </cell>
          <cell r="HQ139">
            <v>0</v>
          </cell>
          <cell r="HR139">
            <v>2.19556</v>
          </cell>
          <cell r="HS139">
            <v>31.973692500000002</v>
          </cell>
          <cell r="HT139">
            <v>8.0834545999999996</v>
          </cell>
          <cell r="HU139">
            <v>0</v>
          </cell>
          <cell r="HV139">
            <v>0</v>
          </cell>
          <cell r="HW139">
            <v>0</v>
          </cell>
          <cell r="HX139" t="str">
            <v>nd</v>
          </cell>
          <cell r="HY139">
            <v>27.488391200000002</v>
          </cell>
          <cell r="HZ139">
            <v>12.882840700000001</v>
          </cell>
          <cell r="IA139">
            <v>0</v>
          </cell>
          <cell r="IB139">
            <v>0</v>
          </cell>
          <cell r="IC139">
            <v>0</v>
          </cell>
          <cell r="ID139">
            <v>0</v>
          </cell>
          <cell r="IE139">
            <v>2.1957200000000001</v>
          </cell>
          <cell r="IF139">
            <v>0.45290399999999997</v>
          </cell>
          <cell r="IG139">
            <v>0</v>
          </cell>
          <cell r="IH139" t="str">
            <v>nd</v>
          </cell>
          <cell r="II139">
            <v>0</v>
          </cell>
          <cell r="IJ139">
            <v>0</v>
          </cell>
          <cell r="IK139" t="str">
            <v>nd</v>
          </cell>
          <cell r="IL139">
            <v>0</v>
          </cell>
          <cell r="IM139">
            <v>0</v>
          </cell>
          <cell r="IN139">
            <v>1.5524</v>
          </cell>
          <cell r="IO139">
            <v>1.7548299999999999</v>
          </cell>
          <cell r="IP139">
            <v>6.9535768999999998</v>
          </cell>
          <cell r="IQ139">
            <v>3.2126200000000003</v>
          </cell>
          <cell r="IR139">
            <v>0</v>
          </cell>
          <cell r="IS139">
            <v>0</v>
          </cell>
          <cell r="IT139" t="str">
            <v>nd</v>
          </cell>
          <cell r="IU139">
            <v>7.9237903999999997</v>
          </cell>
          <cell r="IV139">
            <v>28.810668699999997</v>
          </cell>
          <cell r="IW139">
            <v>4.6644600000000001</v>
          </cell>
          <cell r="IX139">
            <v>0</v>
          </cell>
          <cell r="IY139">
            <v>0</v>
          </cell>
          <cell r="IZ139" t="str">
            <v>nd</v>
          </cell>
          <cell r="JA139">
            <v>3.31406</v>
          </cell>
          <cell r="JB139">
            <v>29.604077799999999</v>
          </cell>
          <cell r="JC139">
            <v>7.0824982999999992</v>
          </cell>
          <cell r="JD139">
            <v>0</v>
          </cell>
          <cell r="JE139">
            <v>0</v>
          </cell>
          <cell r="JF139">
            <v>0</v>
          </cell>
          <cell r="JG139">
            <v>0</v>
          </cell>
          <cell r="JH139">
            <v>1.58318</v>
          </cell>
          <cell r="JI139">
            <v>0.81496000000000002</v>
          </cell>
          <cell r="JJ139">
            <v>0</v>
          </cell>
          <cell r="JK139">
            <v>0</v>
          </cell>
          <cell r="JL139">
            <v>0</v>
          </cell>
          <cell r="JM139">
            <v>0</v>
          </cell>
          <cell r="JN139">
            <v>0.92885999999999991</v>
          </cell>
          <cell r="JO139">
            <v>0</v>
          </cell>
          <cell r="JP139">
            <v>0</v>
          </cell>
          <cell r="JQ139">
            <v>0</v>
          </cell>
          <cell r="JR139">
            <v>0</v>
          </cell>
          <cell r="JS139" t="str">
            <v>nd</v>
          </cell>
          <cell r="JT139">
            <v>13.8158583</v>
          </cell>
          <cell r="JU139">
            <v>0</v>
          </cell>
          <cell r="JV139">
            <v>0</v>
          </cell>
          <cell r="JW139">
            <v>0</v>
          </cell>
          <cell r="JX139">
            <v>0</v>
          </cell>
          <cell r="JY139">
            <v>0</v>
          </cell>
          <cell r="JZ139">
            <v>40.905536099999999</v>
          </cell>
          <cell r="KA139">
            <v>0</v>
          </cell>
          <cell r="KB139">
            <v>0</v>
          </cell>
          <cell r="KC139">
            <v>0</v>
          </cell>
          <cell r="KD139">
            <v>0</v>
          </cell>
          <cell r="KE139">
            <v>0</v>
          </cell>
          <cell r="KF139">
            <v>41.560921499999999</v>
          </cell>
          <cell r="KG139">
            <v>0</v>
          </cell>
          <cell r="KH139">
            <v>0</v>
          </cell>
          <cell r="KI139">
            <v>0</v>
          </cell>
          <cell r="KJ139">
            <v>0</v>
          </cell>
          <cell r="KK139">
            <v>0</v>
          </cell>
          <cell r="KL139">
            <v>2.63428</v>
          </cell>
          <cell r="KM139">
            <v>32.700000000000003</v>
          </cell>
          <cell r="KN139">
            <v>51.800000000000004</v>
          </cell>
          <cell r="KO139">
            <v>4.5</v>
          </cell>
          <cell r="KP139">
            <v>4.1000000000000005</v>
          </cell>
          <cell r="KQ139">
            <v>6.9</v>
          </cell>
          <cell r="KR139">
            <v>0</v>
          </cell>
          <cell r="KS139">
            <v>33.800000000000004</v>
          </cell>
          <cell r="KT139">
            <v>50.1</v>
          </cell>
          <cell r="KU139">
            <v>4.3999999999999995</v>
          </cell>
          <cell r="KV139">
            <v>4.2</v>
          </cell>
          <cell r="KW139">
            <v>7.3999999999999995</v>
          </cell>
          <cell r="KX139">
            <v>0</v>
          </cell>
          <cell r="KY139"/>
          <cell r="KZ139"/>
          <cell r="LA139"/>
          <cell r="LB139"/>
          <cell r="LC139"/>
          <cell r="LD139"/>
          <cell r="LE139"/>
          <cell r="LF139"/>
          <cell r="LG139"/>
          <cell r="LH139"/>
          <cell r="LI139"/>
          <cell r="LJ139"/>
          <cell r="LK139"/>
          <cell r="LL139"/>
          <cell r="LM139"/>
          <cell r="LN139"/>
          <cell r="LO139"/>
        </row>
        <row r="140">
          <cell r="A140" t="str">
            <v>EnsJB</v>
          </cell>
          <cell r="B140" t="str">
            <v>140</v>
          </cell>
          <cell r="C140" t="str">
            <v>NAF 38</v>
          </cell>
          <cell r="D140" t="str">
            <v>JB</v>
          </cell>
          <cell r="E140" t="str">
            <v/>
          </cell>
          <cell r="F140">
            <v>0</v>
          </cell>
          <cell r="G140">
            <v>0.89999999999999991</v>
          </cell>
          <cell r="H140">
            <v>90.3</v>
          </cell>
          <cell r="I140">
            <v>8.7999999999999989</v>
          </cell>
          <cell r="J140" t="str">
            <v>nd</v>
          </cell>
          <cell r="K140">
            <v>93.300000000000011</v>
          </cell>
          <cell r="L140">
            <v>0</v>
          </cell>
          <cell r="M140">
            <v>2</v>
          </cell>
          <cell r="N140">
            <v>4.7</v>
          </cell>
          <cell r="O140">
            <v>2.1999999999999997</v>
          </cell>
          <cell r="P140">
            <v>78.5</v>
          </cell>
          <cell r="Q140">
            <v>3.3000000000000003</v>
          </cell>
          <cell r="R140">
            <v>0.89999999999999991</v>
          </cell>
          <cell r="S140">
            <v>4.2</v>
          </cell>
          <cell r="T140">
            <v>14.099999999999998</v>
          </cell>
          <cell r="U140" t="str">
            <v>nd</v>
          </cell>
          <cell r="V140">
            <v>6.2</v>
          </cell>
          <cell r="W140">
            <v>2.4</v>
          </cell>
          <cell r="X140">
            <v>97.2</v>
          </cell>
          <cell r="Y140">
            <v>0.4</v>
          </cell>
          <cell r="Z140">
            <v>25</v>
          </cell>
          <cell r="AA140" t="str">
            <v>nd</v>
          </cell>
          <cell r="AB140">
            <v>25</v>
          </cell>
          <cell r="AC140" t="str">
            <v>nd</v>
          </cell>
          <cell r="AD140" t="str">
            <v>nd</v>
          </cell>
          <cell r="AE140">
            <v>11.4</v>
          </cell>
          <cell r="AF140">
            <v>88.6</v>
          </cell>
          <cell r="AG140">
            <v>53.1</v>
          </cell>
          <cell r="AH140">
            <v>46.9</v>
          </cell>
          <cell r="AI140">
            <v>39.5</v>
          </cell>
          <cell r="AJ140" t="str">
            <v>nd</v>
          </cell>
          <cell r="AK140">
            <v>0</v>
          </cell>
          <cell r="AL140">
            <v>39.5</v>
          </cell>
          <cell r="AM140">
            <v>19.3</v>
          </cell>
          <cell r="AN140" t="str">
            <v>nd</v>
          </cell>
          <cell r="AO140" t="str">
            <v>nd</v>
          </cell>
          <cell r="AP140">
            <v>0</v>
          </cell>
          <cell r="AQ140">
            <v>57.9</v>
          </cell>
          <cell r="AR140" t="str">
            <v>nd</v>
          </cell>
          <cell r="AS140">
            <v>11.3</v>
          </cell>
          <cell r="AT140">
            <v>6.5</v>
          </cell>
          <cell r="AU140" t="str">
            <v>nd</v>
          </cell>
          <cell r="AV140">
            <v>75.3</v>
          </cell>
          <cell r="AW140">
            <v>5.0999999999999996</v>
          </cell>
          <cell r="AX140" t="str">
            <v>nd</v>
          </cell>
          <cell r="AY140">
            <v>11.1</v>
          </cell>
          <cell r="AZ140">
            <v>3.4000000000000004</v>
          </cell>
          <cell r="BA140">
            <v>73.2</v>
          </cell>
          <cell r="BB140">
            <v>0.89999999999999991</v>
          </cell>
          <cell r="BC140">
            <v>10</v>
          </cell>
          <cell r="BD140">
            <v>1.5</v>
          </cell>
          <cell r="BE140">
            <v>0</v>
          </cell>
          <cell r="BF140">
            <v>0.6</v>
          </cell>
          <cell r="BG140" t="str">
            <v>nd</v>
          </cell>
          <cell r="BH140" t="str">
            <v>nd</v>
          </cell>
          <cell r="BI140">
            <v>9.9</v>
          </cell>
          <cell r="BJ140">
            <v>88.7</v>
          </cell>
          <cell r="BK140">
            <v>0</v>
          </cell>
          <cell r="BL140">
            <v>0</v>
          </cell>
          <cell r="BM140">
            <v>0</v>
          </cell>
          <cell r="BN140">
            <v>4</v>
          </cell>
          <cell r="BO140">
            <v>92.9</v>
          </cell>
          <cell r="BP140">
            <v>3.1</v>
          </cell>
          <cell r="BQ140">
            <v>0</v>
          </cell>
          <cell r="BR140" t="str">
            <v>nd</v>
          </cell>
          <cell r="BS140" t="str">
            <v>nd</v>
          </cell>
          <cell r="BT140">
            <v>1.4000000000000001</v>
          </cell>
          <cell r="BU140">
            <v>25.8</v>
          </cell>
          <cell r="BV140">
            <v>1.7999999999999998</v>
          </cell>
          <cell r="BW140">
            <v>0</v>
          </cell>
          <cell r="BX140">
            <v>0</v>
          </cell>
          <cell r="BY140">
            <v>0</v>
          </cell>
          <cell r="BZ140">
            <v>0</v>
          </cell>
          <cell r="CA140" t="str">
            <v>nd</v>
          </cell>
          <cell r="CB140">
            <v>29.599999999999998</v>
          </cell>
          <cell r="CC140">
            <v>8.9</v>
          </cell>
          <cell r="CD140">
            <v>4.3</v>
          </cell>
          <cell r="CE140">
            <v>0</v>
          </cell>
          <cell r="CF140" t="str">
            <v>nd</v>
          </cell>
          <cell r="CG140">
            <v>0</v>
          </cell>
          <cell r="CH140">
            <v>8.1</v>
          </cell>
          <cell r="CI140">
            <v>1.7999999999999998</v>
          </cell>
          <cell r="CJ140">
            <v>86.2</v>
          </cell>
          <cell r="CK140">
            <v>80.300000000000011</v>
          </cell>
          <cell r="CL140" t="str">
            <v>nd</v>
          </cell>
          <cell r="CM140">
            <v>0</v>
          </cell>
          <cell r="CN140">
            <v>0</v>
          </cell>
          <cell r="CO140">
            <v>19.3</v>
          </cell>
          <cell r="CP140">
            <v>15.4</v>
          </cell>
          <cell r="CQ140">
            <v>9.4</v>
          </cell>
          <cell r="CR140">
            <v>1.5</v>
          </cell>
          <cell r="CS140">
            <v>73.8</v>
          </cell>
          <cell r="CT140">
            <v>82.199999999999989</v>
          </cell>
          <cell r="CU140">
            <v>17.8</v>
          </cell>
          <cell r="CV140">
            <v>76.599999999999994</v>
          </cell>
          <cell r="CW140">
            <v>23.400000000000002</v>
          </cell>
          <cell r="CX140">
            <v>75.400000000000006</v>
          </cell>
          <cell r="CY140">
            <v>11.899999999999999</v>
          </cell>
          <cell r="CZ140">
            <v>12.7</v>
          </cell>
          <cell r="DA140">
            <v>11.3</v>
          </cell>
          <cell r="DB140">
            <v>0</v>
          </cell>
          <cell r="DC140" t="str">
            <v>nd</v>
          </cell>
          <cell r="DD140">
            <v>0</v>
          </cell>
          <cell r="DE140" t="str">
            <v>nd</v>
          </cell>
          <cell r="DF140">
            <v>5.2</v>
          </cell>
          <cell r="DG140">
            <v>6.1</v>
          </cell>
          <cell r="DH140">
            <v>2</v>
          </cell>
          <cell r="DI140">
            <v>71</v>
          </cell>
          <cell r="DJ140">
            <v>8.7999999999999989</v>
          </cell>
          <cell r="DK140">
            <v>6.9</v>
          </cell>
          <cell r="DL140">
            <v>2.6</v>
          </cell>
          <cell r="DM140">
            <v>18.399999999999999</v>
          </cell>
          <cell r="DN140">
            <v>0.89999999999999991</v>
          </cell>
          <cell r="DO140">
            <v>10.5</v>
          </cell>
          <cell r="DP140">
            <v>3.5999999999999996</v>
          </cell>
          <cell r="DQ140">
            <v>75.400000000000006</v>
          </cell>
          <cell r="DR140">
            <v>4</v>
          </cell>
          <cell r="DS140">
            <v>72.099999999999994</v>
          </cell>
          <cell r="DT140">
            <v>1</v>
          </cell>
          <cell r="DU140">
            <v>0</v>
          </cell>
          <cell r="DV140">
            <v>0</v>
          </cell>
          <cell r="DW140">
            <v>0</v>
          </cell>
          <cell r="DX140">
            <v>0</v>
          </cell>
          <cell r="DY140">
            <v>0</v>
          </cell>
          <cell r="DZ140" t="str">
            <v>nd</v>
          </cell>
          <cell r="EA140" t="str">
            <v>nd</v>
          </cell>
          <cell r="EB140">
            <v>0</v>
          </cell>
          <cell r="EC140" t="str">
            <v>nd</v>
          </cell>
          <cell r="ED140" t="str">
            <v>nd</v>
          </cell>
          <cell r="EE140" t="str">
            <v>nd</v>
          </cell>
          <cell r="EF140">
            <v>7.7834946</v>
          </cell>
          <cell r="EG140">
            <v>5.4780199999999999</v>
          </cell>
          <cell r="EH140" t="str">
            <v>nd</v>
          </cell>
          <cell r="EI140">
            <v>74.689277599999997</v>
          </cell>
          <cell r="EJ140">
            <v>0.60489999999999999</v>
          </cell>
          <cell r="EK140" t="str">
            <v>nd</v>
          </cell>
          <cell r="EL140">
            <v>3.2839</v>
          </cell>
          <cell r="EM140" t="str">
            <v>nd</v>
          </cell>
          <cell r="EN140">
            <v>0</v>
          </cell>
          <cell r="EO140" t="str">
            <v>nd</v>
          </cell>
          <cell r="EP140">
            <v>4.1614699999999996</v>
          </cell>
          <cell r="EQ140">
            <v>0</v>
          </cell>
          <cell r="ER140" t="str">
            <v>nd</v>
          </cell>
          <cell r="ES140">
            <v>0</v>
          </cell>
          <cell r="ET140">
            <v>0</v>
          </cell>
          <cell r="EU140">
            <v>0</v>
          </cell>
          <cell r="EV140">
            <v>0</v>
          </cell>
          <cell r="EW140">
            <v>0</v>
          </cell>
          <cell r="EX140">
            <v>0</v>
          </cell>
          <cell r="EY140">
            <v>0</v>
          </cell>
          <cell r="EZ140">
            <v>0</v>
          </cell>
          <cell r="FA140">
            <v>0</v>
          </cell>
          <cell r="FB140">
            <v>0</v>
          </cell>
          <cell r="FC140">
            <v>0</v>
          </cell>
          <cell r="FD140">
            <v>0</v>
          </cell>
          <cell r="FE140" t="str">
            <v>nd</v>
          </cell>
          <cell r="FF140">
            <v>0</v>
          </cell>
          <cell r="FG140" t="str">
            <v>nd</v>
          </cell>
          <cell r="FH140" t="str">
            <v>nd</v>
          </cell>
          <cell r="FI140">
            <v>5.34992</v>
          </cell>
          <cell r="FJ140">
            <v>3.0487000000000002</v>
          </cell>
          <cell r="FK140">
            <v>72.469971700000002</v>
          </cell>
          <cell r="FL140" t="str">
            <v>nd</v>
          </cell>
          <cell r="FM140">
            <v>8.8833868000000002</v>
          </cell>
          <cell r="FN140" t="str">
            <v>nd</v>
          </cell>
          <cell r="FO140">
            <v>5.7013699999999998</v>
          </cell>
          <cell r="FP140" t="str">
            <v>nd</v>
          </cell>
          <cell r="FQ140" t="str">
            <v>nd</v>
          </cell>
          <cell r="FR140" t="str">
            <v>nd</v>
          </cell>
          <cell r="FS140">
            <v>0.77442800000000001</v>
          </cell>
          <cell r="FT140">
            <v>1.1592</v>
          </cell>
          <cell r="FU140">
            <v>0</v>
          </cell>
          <cell r="FV140">
            <v>0</v>
          </cell>
          <cell r="FW140">
            <v>0</v>
          </cell>
          <cell r="FX140">
            <v>0</v>
          </cell>
          <cell r="FY140" t="str">
            <v>nd</v>
          </cell>
          <cell r="FZ140">
            <v>0</v>
          </cell>
          <cell r="GA140">
            <v>0</v>
          </cell>
          <cell r="GB140">
            <v>0</v>
          </cell>
          <cell r="GC140">
            <v>0</v>
          </cell>
          <cell r="GD140">
            <v>0</v>
          </cell>
          <cell r="GE140">
            <v>0</v>
          </cell>
          <cell r="GF140">
            <v>0</v>
          </cell>
          <cell r="GG140" t="str">
            <v>nd</v>
          </cell>
          <cell r="GH140" t="str">
            <v>nd</v>
          </cell>
          <cell r="GI140">
            <v>0</v>
          </cell>
          <cell r="GJ140" t="str">
            <v>nd</v>
          </cell>
          <cell r="GK140" t="str">
            <v>nd</v>
          </cell>
          <cell r="GL140">
            <v>0</v>
          </cell>
          <cell r="GM140" t="str">
            <v>nd</v>
          </cell>
          <cell r="GN140">
            <v>0</v>
          </cell>
          <cell r="GO140" t="str">
            <v>nd</v>
          </cell>
          <cell r="GP140">
            <v>9.1063290000000006</v>
          </cell>
          <cell r="GQ140">
            <v>80.135424499999999</v>
          </cell>
          <cell r="GR140">
            <v>0</v>
          </cell>
          <cell r="GS140">
            <v>0</v>
          </cell>
          <cell r="GT140">
            <v>0</v>
          </cell>
          <cell r="GU140">
            <v>0</v>
          </cell>
          <cell r="GV140" t="str">
            <v>nd</v>
          </cell>
          <cell r="GW140">
            <v>8.1688174</v>
          </cell>
          <cell r="GX140">
            <v>0</v>
          </cell>
          <cell r="GY140">
            <v>0</v>
          </cell>
          <cell r="GZ140">
            <v>0</v>
          </cell>
          <cell r="HA140">
            <v>0</v>
          </cell>
          <cell r="HB140">
            <v>0</v>
          </cell>
          <cell r="HC140" t="str">
            <v>nd</v>
          </cell>
          <cell r="HD140">
            <v>0</v>
          </cell>
          <cell r="HE140">
            <v>0</v>
          </cell>
          <cell r="HF140">
            <v>0</v>
          </cell>
          <cell r="HG140">
            <v>0</v>
          </cell>
          <cell r="HH140">
            <v>0</v>
          </cell>
          <cell r="HI140">
            <v>0</v>
          </cell>
          <cell r="HJ140">
            <v>0</v>
          </cell>
          <cell r="HK140">
            <v>0</v>
          </cell>
          <cell r="HL140" t="str">
            <v>nd</v>
          </cell>
          <cell r="HM140" t="str">
            <v>nd</v>
          </cell>
          <cell r="HN140" t="str">
            <v>nd</v>
          </cell>
          <cell r="HO140">
            <v>0</v>
          </cell>
          <cell r="HP140">
            <v>0</v>
          </cell>
          <cell r="HQ140">
            <v>0</v>
          </cell>
          <cell r="HR140">
            <v>3.6642099999999997</v>
          </cell>
          <cell r="HS140">
            <v>85.870390299999997</v>
          </cell>
          <cell r="HT140">
            <v>0.77638399999999996</v>
          </cell>
          <cell r="HU140">
            <v>0</v>
          </cell>
          <cell r="HV140">
            <v>0</v>
          </cell>
          <cell r="HW140">
            <v>0</v>
          </cell>
          <cell r="HX140" t="str">
            <v>nd</v>
          </cell>
          <cell r="HY140">
            <v>6.8543437999999997</v>
          </cell>
          <cell r="HZ140">
            <v>1.81504</v>
          </cell>
          <cell r="IA140">
            <v>0</v>
          </cell>
          <cell r="IB140">
            <v>0</v>
          </cell>
          <cell r="IC140">
            <v>0</v>
          </cell>
          <cell r="ID140">
            <v>0</v>
          </cell>
          <cell r="IE140" t="str">
            <v>nd</v>
          </cell>
          <cell r="IF140">
            <v>0</v>
          </cell>
          <cell r="IG140">
            <v>0</v>
          </cell>
          <cell r="IH140">
            <v>0</v>
          </cell>
          <cell r="II140">
            <v>0</v>
          </cell>
          <cell r="IJ140">
            <v>0</v>
          </cell>
          <cell r="IK140">
            <v>0</v>
          </cell>
          <cell r="IL140">
            <v>0</v>
          </cell>
          <cell r="IM140">
            <v>0</v>
          </cell>
          <cell r="IN140">
            <v>0</v>
          </cell>
          <cell r="IO140">
            <v>0</v>
          </cell>
          <cell r="IP140">
            <v>0.57454700000000003</v>
          </cell>
          <cell r="IQ140" t="str">
            <v>nd</v>
          </cell>
          <cell r="IR140">
            <v>0</v>
          </cell>
          <cell r="IS140">
            <v>0</v>
          </cell>
          <cell r="IT140" t="str">
            <v>nd</v>
          </cell>
          <cell r="IU140" t="str">
            <v>nd</v>
          </cell>
          <cell r="IV140">
            <v>18.784206900000001</v>
          </cell>
          <cell r="IW140">
            <v>0.50023200000000001</v>
          </cell>
          <cell r="IX140">
            <v>0</v>
          </cell>
          <cell r="IY140" t="str">
            <v>nd</v>
          </cell>
          <cell r="IZ140" t="str">
            <v>nd</v>
          </cell>
          <cell r="JA140" t="str">
            <v>nd</v>
          </cell>
          <cell r="JB140">
            <v>6.4382992000000003</v>
          </cell>
          <cell r="JC140" t="str">
            <v>nd</v>
          </cell>
          <cell r="JD140">
            <v>0</v>
          </cell>
          <cell r="JE140">
            <v>0</v>
          </cell>
          <cell r="JF140">
            <v>0</v>
          </cell>
          <cell r="JG140">
            <v>0</v>
          </cell>
          <cell r="JH140" t="str">
            <v>nd</v>
          </cell>
          <cell r="JI140">
            <v>0</v>
          </cell>
          <cell r="JJ140">
            <v>0</v>
          </cell>
          <cell r="JK140">
            <v>0</v>
          </cell>
          <cell r="JL140">
            <v>0</v>
          </cell>
          <cell r="JM140">
            <v>0</v>
          </cell>
          <cell r="JN140">
            <v>0</v>
          </cell>
          <cell r="JO140">
            <v>0</v>
          </cell>
          <cell r="JP140">
            <v>0</v>
          </cell>
          <cell r="JQ140">
            <v>0</v>
          </cell>
          <cell r="JR140">
            <v>0</v>
          </cell>
          <cell r="JS140">
            <v>0</v>
          </cell>
          <cell r="JT140">
            <v>0.93623999999999996</v>
          </cell>
          <cell r="JU140">
            <v>0</v>
          </cell>
          <cell r="JV140">
            <v>0</v>
          </cell>
          <cell r="JW140">
            <v>0</v>
          </cell>
          <cell r="JX140">
            <v>0</v>
          </cell>
          <cell r="JY140" t="str">
            <v>nd</v>
          </cell>
          <cell r="JZ140">
            <v>19.716649499999999</v>
          </cell>
          <cell r="KA140">
            <v>0</v>
          </cell>
          <cell r="KB140">
            <v>0</v>
          </cell>
          <cell r="KC140">
            <v>0</v>
          </cell>
          <cell r="KD140">
            <v>0</v>
          </cell>
          <cell r="KE140">
            <v>0</v>
          </cell>
          <cell r="KF140">
            <v>8.8677083999999997</v>
          </cell>
          <cell r="KG140">
            <v>0</v>
          </cell>
          <cell r="KH140">
            <v>0</v>
          </cell>
          <cell r="KI140">
            <v>0</v>
          </cell>
          <cell r="KJ140">
            <v>0</v>
          </cell>
          <cell r="KK140">
            <v>0</v>
          </cell>
          <cell r="KL140" t="str">
            <v>nd</v>
          </cell>
          <cell r="KM140">
            <v>26.6</v>
          </cell>
          <cell r="KN140">
            <v>36.700000000000003</v>
          </cell>
          <cell r="KO140">
            <v>0.89999999999999991</v>
          </cell>
          <cell r="KP140">
            <v>5</v>
          </cell>
          <cell r="KQ140">
            <v>27.500000000000004</v>
          </cell>
          <cell r="KR140">
            <v>3.2</v>
          </cell>
          <cell r="KS140">
            <v>35.099999999999994</v>
          </cell>
          <cell r="KT140">
            <v>31.8</v>
          </cell>
          <cell r="KU140">
            <v>0.89999999999999991</v>
          </cell>
          <cell r="KV140">
            <v>5.6000000000000005</v>
          </cell>
          <cell r="KW140">
            <v>23</v>
          </cell>
          <cell r="KX140">
            <v>3.5999999999999996</v>
          </cell>
          <cell r="KY140"/>
          <cell r="KZ140"/>
          <cell r="LA140"/>
          <cell r="LB140"/>
          <cell r="LC140"/>
          <cell r="LD140"/>
          <cell r="LE140"/>
          <cell r="LF140"/>
          <cell r="LG140"/>
          <cell r="LH140"/>
          <cell r="LI140"/>
          <cell r="LJ140"/>
          <cell r="LK140"/>
          <cell r="LL140"/>
          <cell r="LM140"/>
          <cell r="LN140"/>
          <cell r="LO140"/>
        </row>
        <row r="141">
          <cell r="A141" t="str">
            <v>EnsJC</v>
          </cell>
          <cell r="B141" t="str">
            <v>141</v>
          </cell>
          <cell r="C141" t="str">
            <v>NAF 38</v>
          </cell>
          <cell r="D141" t="str">
            <v>JC</v>
          </cell>
          <cell r="E141" t="str">
            <v/>
          </cell>
          <cell r="F141">
            <v>0</v>
          </cell>
          <cell r="G141">
            <v>5.7</v>
          </cell>
          <cell r="H141">
            <v>60.6</v>
          </cell>
          <cell r="I141">
            <v>28.9</v>
          </cell>
          <cell r="J141">
            <v>4.9000000000000004</v>
          </cell>
          <cell r="K141">
            <v>90.7</v>
          </cell>
          <cell r="L141">
            <v>5.8999999999999995</v>
          </cell>
          <cell r="M141">
            <v>2.2999999999999998</v>
          </cell>
          <cell r="N141">
            <v>1.0999999999999999</v>
          </cell>
          <cell r="O141">
            <v>48.1</v>
          </cell>
          <cell r="P141">
            <v>36.9</v>
          </cell>
          <cell r="Q141">
            <v>3.8</v>
          </cell>
          <cell r="R141">
            <v>4.3999999999999995</v>
          </cell>
          <cell r="S141">
            <v>4.8</v>
          </cell>
          <cell r="T141">
            <v>62</v>
          </cell>
          <cell r="U141">
            <v>2.4</v>
          </cell>
          <cell r="V141">
            <v>25.1</v>
          </cell>
          <cell r="W141">
            <v>17.2</v>
          </cell>
          <cell r="X141">
            <v>76.2</v>
          </cell>
          <cell r="Y141">
            <v>6.6000000000000005</v>
          </cell>
          <cell r="Z141">
            <v>24.9</v>
          </cell>
          <cell r="AA141">
            <v>23.1</v>
          </cell>
          <cell r="AB141">
            <v>36.700000000000003</v>
          </cell>
          <cell r="AC141">
            <v>81.699999999999989</v>
          </cell>
          <cell r="AD141">
            <v>23.7</v>
          </cell>
          <cell r="AE141">
            <v>72.399999999999991</v>
          </cell>
          <cell r="AF141">
            <v>27.6</v>
          </cell>
          <cell r="AG141">
            <v>50</v>
          </cell>
          <cell r="AH141">
            <v>50</v>
          </cell>
          <cell r="AI141">
            <v>73.3</v>
          </cell>
          <cell r="AJ141">
            <v>5.8000000000000007</v>
          </cell>
          <cell r="AK141">
            <v>1.2</v>
          </cell>
          <cell r="AL141">
            <v>16.5</v>
          </cell>
          <cell r="AM141">
            <v>3.2</v>
          </cell>
          <cell r="AN141">
            <v>19.100000000000001</v>
          </cell>
          <cell r="AO141">
            <v>2.5</v>
          </cell>
          <cell r="AP141">
            <v>29.099999999999998</v>
          </cell>
          <cell r="AQ141">
            <v>33</v>
          </cell>
          <cell r="AR141">
            <v>16.3</v>
          </cell>
          <cell r="AS141">
            <v>7.1999999999999993</v>
          </cell>
          <cell r="AT141">
            <v>9.5</v>
          </cell>
          <cell r="AU141">
            <v>11.899999999999999</v>
          </cell>
          <cell r="AV141">
            <v>24.9</v>
          </cell>
          <cell r="AW141">
            <v>38.4</v>
          </cell>
          <cell r="AX141">
            <v>8.1</v>
          </cell>
          <cell r="AY141">
            <v>38.1</v>
          </cell>
          <cell r="AZ141">
            <v>36.1</v>
          </cell>
          <cell r="BA141">
            <v>11.899999999999999</v>
          </cell>
          <cell r="BB141">
            <v>8.3000000000000007</v>
          </cell>
          <cell r="BC141">
            <v>3.9</v>
          </cell>
          <cell r="BD141">
            <v>1.6</v>
          </cell>
          <cell r="BE141" t="str">
            <v>nd</v>
          </cell>
          <cell r="BF141">
            <v>0.8</v>
          </cell>
          <cell r="BG141">
            <v>4.7</v>
          </cell>
          <cell r="BH141">
            <v>11.5</v>
          </cell>
          <cell r="BI141">
            <v>42.4</v>
          </cell>
          <cell r="BJ141">
            <v>40.400000000000006</v>
          </cell>
          <cell r="BK141">
            <v>0</v>
          </cell>
          <cell r="BL141">
            <v>0</v>
          </cell>
          <cell r="BM141">
            <v>0</v>
          </cell>
          <cell r="BN141">
            <v>12.4</v>
          </cell>
          <cell r="BO141">
            <v>64.600000000000009</v>
          </cell>
          <cell r="BP141">
            <v>23</v>
          </cell>
          <cell r="BQ141">
            <v>0</v>
          </cell>
          <cell r="BR141" t="str">
            <v>nd</v>
          </cell>
          <cell r="BS141">
            <v>1.2</v>
          </cell>
          <cell r="BT141">
            <v>18.5</v>
          </cell>
          <cell r="BU141">
            <v>72.099999999999994</v>
          </cell>
          <cell r="BV141">
            <v>7.8</v>
          </cell>
          <cell r="BW141">
            <v>0</v>
          </cell>
          <cell r="BX141">
            <v>0</v>
          </cell>
          <cell r="BY141">
            <v>0</v>
          </cell>
          <cell r="BZ141">
            <v>0</v>
          </cell>
          <cell r="CA141" t="str">
            <v>nd</v>
          </cell>
          <cell r="CB141">
            <v>99.7</v>
          </cell>
          <cell r="CC141">
            <v>5.8999999999999995</v>
          </cell>
          <cell r="CD141">
            <v>11.5</v>
          </cell>
          <cell r="CE141">
            <v>0</v>
          </cell>
          <cell r="CF141">
            <v>1.2</v>
          </cell>
          <cell r="CG141" t="str">
            <v>nd</v>
          </cell>
          <cell r="CH141">
            <v>25.2</v>
          </cell>
          <cell r="CI141">
            <v>17.599999999999998</v>
          </cell>
          <cell r="CJ141">
            <v>64.600000000000009</v>
          </cell>
          <cell r="CK141">
            <v>52.900000000000006</v>
          </cell>
          <cell r="CL141">
            <v>5.7</v>
          </cell>
          <cell r="CM141">
            <v>0.89999999999999991</v>
          </cell>
          <cell r="CN141">
            <v>1.0999999999999999</v>
          </cell>
          <cell r="CO141">
            <v>45.2</v>
          </cell>
          <cell r="CP141">
            <v>36</v>
          </cell>
          <cell r="CQ141">
            <v>18.600000000000001</v>
          </cell>
          <cell r="CR141">
            <v>18.099999999999998</v>
          </cell>
          <cell r="CS141">
            <v>27.200000000000003</v>
          </cell>
          <cell r="CT141">
            <v>20.399999999999999</v>
          </cell>
          <cell r="CU141">
            <v>79.600000000000009</v>
          </cell>
          <cell r="CV141">
            <v>32.4</v>
          </cell>
          <cell r="CW141">
            <v>67.600000000000009</v>
          </cell>
          <cell r="CX141">
            <v>34.799999999999997</v>
          </cell>
          <cell r="CY141">
            <v>23.1</v>
          </cell>
          <cell r="CZ141">
            <v>42.199999999999996</v>
          </cell>
          <cell r="DA141">
            <v>3.9</v>
          </cell>
          <cell r="DB141">
            <v>1.7999999999999998</v>
          </cell>
          <cell r="DC141" t="str">
            <v>nd</v>
          </cell>
          <cell r="DD141">
            <v>0</v>
          </cell>
          <cell r="DE141">
            <v>96.7</v>
          </cell>
          <cell r="DF141">
            <v>12.5</v>
          </cell>
          <cell r="DG141">
            <v>4</v>
          </cell>
          <cell r="DH141">
            <v>12.5</v>
          </cell>
          <cell r="DI141">
            <v>18</v>
          </cell>
          <cell r="DJ141">
            <v>37.1</v>
          </cell>
          <cell r="DK141">
            <v>15.8</v>
          </cell>
          <cell r="DL141">
            <v>11.4</v>
          </cell>
          <cell r="DM141">
            <v>54.500000000000007</v>
          </cell>
          <cell r="DN141">
            <v>2.7</v>
          </cell>
          <cell r="DO141">
            <v>32</v>
          </cell>
          <cell r="DP141">
            <v>35.699999999999996</v>
          </cell>
          <cell r="DQ141">
            <v>5.5</v>
          </cell>
          <cell r="DR141">
            <v>2.1999999999999997</v>
          </cell>
          <cell r="DS141">
            <v>28.199999999999996</v>
          </cell>
          <cell r="DT141">
            <v>20.599999999999998</v>
          </cell>
          <cell r="DU141">
            <v>0</v>
          </cell>
          <cell r="DV141">
            <v>0</v>
          </cell>
          <cell r="DW141">
            <v>0</v>
          </cell>
          <cell r="DX141">
            <v>0</v>
          </cell>
          <cell r="DY141">
            <v>0</v>
          </cell>
          <cell r="DZ141">
            <v>0.52263300000000001</v>
          </cell>
          <cell r="EA141" t="str">
            <v>nd</v>
          </cell>
          <cell r="EB141" t="str">
            <v>nd</v>
          </cell>
          <cell r="EC141">
            <v>2.1788700000000003</v>
          </cell>
          <cell r="ED141">
            <v>2.4602499999999998</v>
          </cell>
          <cell r="EE141" t="str">
            <v>nd</v>
          </cell>
          <cell r="EF141">
            <v>2.5401600000000002</v>
          </cell>
          <cell r="EG141">
            <v>4.1971699999999998</v>
          </cell>
          <cell r="EH141">
            <v>8.2441344000000001</v>
          </cell>
          <cell r="EI141">
            <v>18.156017599999998</v>
          </cell>
          <cell r="EJ141">
            <v>23.327367900000002</v>
          </cell>
          <cell r="EK141">
            <v>3.3733199999999997</v>
          </cell>
          <cell r="EL141">
            <v>3.32856</v>
          </cell>
          <cell r="EM141">
            <v>2.5240999999999998</v>
          </cell>
          <cell r="EN141">
            <v>2.9464899999999998</v>
          </cell>
          <cell r="EO141">
            <v>3.9192499999999999</v>
          </cell>
          <cell r="EP141">
            <v>12.485246399999999</v>
          </cell>
          <cell r="EQ141">
            <v>4.0527699999999998</v>
          </cell>
          <cell r="ER141">
            <v>0.83175999999999994</v>
          </cell>
          <cell r="ES141">
            <v>2.5281000000000002</v>
          </cell>
          <cell r="ET141" t="str">
            <v>nd</v>
          </cell>
          <cell r="EU141">
            <v>0.72111099999999995</v>
          </cell>
          <cell r="EV141" t="str">
            <v>nd</v>
          </cell>
          <cell r="EW141" t="str">
            <v>nd</v>
          </cell>
          <cell r="EX141">
            <v>0</v>
          </cell>
          <cell r="EY141">
            <v>0</v>
          </cell>
          <cell r="EZ141">
            <v>0</v>
          </cell>
          <cell r="FA141">
            <v>0</v>
          </cell>
          <cell r="FB141">
            <v>0</v>
          </cell>
          <cell r="FC141">
            <v>2.0804400000000003</v>
          </cell>
          <cell r="FD141">
            <v>1.49376</v>
          </cell>
          <cell r="FE141">
            <v>1.0509599999999999</v>
          </cell>
          <cell r="FF141">
            <v>0.58016800000000002</v>
          </cell>
          <cell r="FG141" t="str">
            <v>nd</v>
          </cell>
          <cell r="FH141" t="str">
            <v>nd</v>
          </cell>
          <cell r="FI141">
            <v>18.456169500000001</v>
          </cell>
          <cell r="FJ141">
            <v>28.2636076</v>
          </cell>
          <cell r="FK141">
            <v>6.3897861000000002</v>
          </cell>
          <cell r="FL141">
            <v>4.6951800000000006</v>
          </cell>
          <cell r="FM141">
            <v>1.49976</v>
          </cell>
          <cell r="FN141">
            <v>0.61667500000000008</v>
          </cell>
          <cell r="FO141">
            <v>16.706780500000001</v>
          </cell>
          <cell r="FP141">
            <v>5.8893399999999998</v>
          </cell>
          <cell r="FQ141">
            <v>3.1462200000000005</v>
          </cell>
          <cell r="FR141">
            <v>1.73495</v>
          </cell>
          <cell r="FS141">
            <v>1.6477599999999999</v>
          </cell>
          <cell r="FT141">
            <v>0.37312600000000001</v>
          </cell>
          <cell r="FU141">
            <v>0.90769000000000011</v>
          </cell>
          <cell r="FV141">
            <v>0.47833900000000001</v>
          </cell>
          <cell r="FW141">
            <v>1.3338300000000001</v>
          </cell>
          <cell r="FX141">
            <v>1.3065599999999999</v>
          </cell>
          <cell r="FY141">
            <v>0.36763299999999999</v>
          </cell>
          <cell r="FZ141" t="str">
            <v>nd</v>
          </cell>
          <cell r="GA141">
            <v>0</v>
          </cell>
          <cell r="GB141">
            <v>0</v>
          </cell>
          <cell r="GC141">
            <v>0</v>
          </cell>
          <cell r="GD141">
            <v>0</v>
          </cell>
          <cell r="GE141">
            <v>0</v>
          </cell>
          <cell r="GF141" t="str">
            <v>nd</v>
          </cell>
          <cell r="GG141">
            <v>0.71714200000000006</v>
          </cell>
          <cell r="GH141">
            <v>0.667987</v>
          </cell>
          <cell r="GI141">
            <v>2.4385699999999999</v>
          </cell>
          <cell r="GJ141">
            <v>1.0240900000000002</v>
          </cell>
          <cell r="GK141">
            <v>1.0205299999999999</v>
          </cell>
          <cell r="GL141">
            <v>0</v>
          </cell>
          <cell r="GM141" t="str">
            <v>nd</v>
          </cell>
          <cell r="GN141">
            <v>4.0316000000000001</v>
          </cell>
          <cell r="GO141">
            <v>8.0239336999999988</v>
          </cell>
          <cell r="GP141">
            <v>32.745282400000001</v>
          </cell>
          <cell r="GQ141">
            <v>15.9998545</v>
          </cell>
          <cell r="GR141">
            <v>0</v>
          </cell>
          <cell r="GS141">
            <v>0</v>
          </cell>
          <cell r="GT141">
            <v>0</v>
          </cell>
          <cell r="GU141">
            <v>0.87842000000000009</v>
          </cell>
          <cell r="GV141">
            <v>6.1046700000000005</v>
          </cell>
          <cell r="GW141">
            <v>21.008645399999999</v>
          </cell>
          <cell r="GX141">
            <v>0</v>
          </cell>
          <cell r="GY141">
            <v>0</v>
          </cell>
          <cell r="GZ141">
            <v>0</v>
          </cell>
          <cell r="HA141" t="str">
            <v>nd</v>
          </cell>
          <cell r="HB141">
            <v>2.5472100000000002</v>
          </cell>
          <cell r="HC141">
            <v>2.3843399999999999</v>
          </cell>
          <cell r="HD141">
            <v>0</v>
          </cell>
          <cell r="HE141">
            <v>0</v>
          </cell>
          <cell r="HF141">
            <v>0</v>
          </cell>
          <cell r="HG141">
            <v>0</v>
          </cell>
          <cell r="HH141">
            <v>0</v>
          </cell>
          <cell r="HI141">
            <v>0</v>
          </cell>
          <cell r="HJ141">
            <v>0</v>
          </cell>
          <cell r="HK141">
            <v>0</v>
          </cell>
          <cell r="HL141">
            <v>0</v>
          </cell>
          <cell r="HM141">
            <v>4.03573</v>
          </cell>
          <cell r="HN141">
            <v>1.48542</v>
          </cell>
          <cell r="HO141">
            <v>0</v>
          </cell>
          <cell r="HP141">
            <v>0</v>
          </cell>
          <cell r="HQ141">
            <v>0</v>
          </cell>
          <cell r="HR141">
            <v>12.2404934</v>
          </cell>
          <cell r="HS141">
            <v>35.732310099999999</v>
          </cell>
          <cell r="HT141">
            <v>13.034739800000001</v>
          </cell>
          <cell r="HU141">
            <v>0</v>
          </cell>
          <cell r="HV141">
            <v>0</v>
          </cell>
          <cell r="HW141">
            <v>0</v>
          </cell>
          <cell r="HX141" t="str">
            <v>nd</v>
          </cell>
          <cell r="HY141">
            <v>21.591014600000001</v>
          </cell>
          <cell r="HZ141">
            <v>6.7032170000000004</v>
          </cell>
          <cell r="IA141">
            <v>0</v>
          </cell>
          <cell r="IB141">
            <v>0</v>
          </cell>
          <cell r="IC141">
            <v>0</v>
          </cell>
          <cell r="ID141">
            <v>0</v>
          </cell>
          <cell r="IE141">
            <v>3.2721899999999997</v>
          </cell>
          <cell r="IF141">
            <v>1.70645</v>
          </cell>
          <cell r="IG141">
            <v>0</v>
          </cell>
          <cell r="IH141">
            <v>0</v>
          </cell>
          <cell r="II141">
            <v>0</v>
          </cell>
          <cell r="IJ141">
            <v>0</v>
          </cell>
          <cell r="IK141">
            <v>0</v>
          </cell>
          <cell r="IL141">
            <v>0</v>
          </cell>
          <cell r="IM141">
            <v>0</v>
          </cell>
          <cell r="IN141" t="str">
            <v>nd</v>
          </cell>
          <cell r="IO141">
            <v>0.582314</v>
          </cell>
          <cell r="IP141">
            <v>4.0052200000000004</v>
          </cell>
          <cell r="IQ141">
            <v>0.87933000000000006</v>
          </cell>
          <cell r="IR141">
            <v>0</v>
          </cell>
          <cell r="IS141" t="str">
            <v>nd</v>
          </cell>
          <cell r="IT141">
            <v>0.68486600000000009</v>
          </cell>
          <cell r="IU141">
            <v>13.540249500000002</v>
          </cell>
          <cell r="IV141">
            <v>43.167113700000002</v>
          </cell>
          <cell r="IW141">
            <v>3.6171799999999998</v>
          </cell>
          <cell r="IX141">
            <v>0</v>
          </cell>
          <cell r="IY141">
            <v>0</v>
          </cell>
          <cell r="IZ141" t="str">
            <v>nd</v>
          </cell>
          <cell r="JA141">
            <v>3.12249</v>
          </cell>
          <cell r="JB141">
            <v>21.679572499999999</v>
          </cell>
          <cell r="JC141">
            <v>2.8870199999999997</v>
          </cell>
          <cell r="JD141">
            <v>0</v>
          </cell>
          <cell r="JE141">
            <v>0</v>
          </cell>
          <cell r="JF141">
            <v>0</v>
          </cell>
          <cell r="JG141">
            <v>1.31247</v>
          </cell>
          <cell r="JH141">
            <v>3.2715199999999998</v>
          </cell>
          <cell r="JI141">
            <v>0.31680599999999998</v>
          </cell>
          <cell r="JJ141">
            <v>0</v>
          </cell>
          <cell r="JK141">
            <v>0</v>
          </cell>
          <cell r="JL141">
            <v>0</v>
          </cell>
          <cell r="JM141">
            <v>0</v>
          </cell>
          <cell r="JN141">
            <v>0</v>
          </cell>
          <cell r="JO141">
            <v>0</v>
          </cell>
          <cell r="JP141">
            <v>0</v>
          </cell>
          <cell r="JQ141">
            <v>0</v>
          </cell>
          <cell r="JR141">
            <v>0</v>
          </cell>
          <cell r="JS141">
            <v>0</v>
          </cell>
          <cell r="JT141">
            <v>5.3230199999999996</v>
          </cell>
          <cell r="JU141">
            <v>0</v>
          </cell>
          <cell r="JV141">
            <v>0</v>
          </cell>
          <cell r="JW141">
            <v>0</v>
          </cell>
          <cell r="JX141">
            <v>0</v>
          </cell>
          <cell r="JY141" t="str">
            <v>nd</v>
          </cell>
          <cell r="JZ141">
            <v>60.888658500000005</v>
          </cell>
          <cell r="KA141">
            <v>0</v>
          </cell>
          <cell r="KB141">
            <v>0</v>
          </cell>
          <cell r="KC141">
            <v>0</v>
          </cell>
          <cell r="KD141">
            <v>0</v>
          </cell>
          <cell r="KE141">
            <v>0</v>
          </cell>
          <cell r="KF141">
            <v>28.529316900000001</v>
          </cell>
          <cell r="KG141">
            <v>0</v>
          </cell>
          <cell r="KH141">
            <v>0</v>
          </cell>
          <cell r="KI141">
            <v>0</v>
          </cell>
          <cell r="KJ141">
            <v>0</v>
          </cell>
          <cell r="KK141">
            <v>0</v>
          </cell>
          <cell r="KL141">
            <v>4.9666000000000006</v>
          </cell>
          <cell r="KM141">
            <v>21.3</v>
          </cell>
          <cell r="KN141">
            <v>60.6</v>
          </cell>
          <cell r="KO141">
            <v>5.8999999999999995</v>
          </cell>
          <cell r="KP141">
            <v>5.2</v>
          </cell>
          <cell r="KQ141">
            <v>7.0000000000000009</v>
          </cell>
          <cell r="KR141">
            <v>0</v>
          </cell>
          <cell r="KS141">
            <v>21.8</v>
          </cell>
          <cell r="KT141">
            <v>58.099999999999994</v>
          </cell>
          <cell r="KU141">
            <v>6.3</v>
          </cell>
          <cell r="KV141">
            <v>5.8000000000000007</v>
          </cell>
          <cell r="KW141">
            <v>7.9</v>
          </cell>
          <cell r="KX141">
            <v>0</v>
          </cell>
          <cell r="KY141"/>
          <cell r="KZ141"/>
          <cell r="LA141"/>
          <cell r="LB141"/>
          <cell r="LC141"/>
          <cell r="LD141"/>
          <cell r="LE141"/>
          <cell r="LF141"/>
          <cell r="LG141"/>
          <cell r="LH141"/>
          <cell r="LI141"/>
          <cell r="LJ141"/>
          <cell r="LK141"/>
          <cell r="LL141"/>
          <cell r="LM141"/>
          <cell r="LN141"/>
          <cell r="LO141"/>
        </row>
        <row r="142">
          <cell r="A142" t="str">
            <v>EnsKZ</v>
          </cell>
          <cell r="B142" t="str">
            <v>142</v>
          </cell>
          <cell r="C142" t="str">
            <v>NAF 38</v>
          </cell>
          <cell r="D142" t="str">
            <v>KZ</v>
          </cell>
          <cell r="E142" t="str">
            <v/>
          </cell>
          <cell r="F142">
            <v>0</v>
          </cell>
          <cell r="G142">
            <v>2.5</v>
          </cell>
          <cell r="H142">
            <v>46.400000000000006</v>
          </cell>
          <cell r="I142">
            <v>40.300000000000004</v>
          </cell>
          <cell r="J142">
            <v>10.8</v>
          </cell>
          <cell r="K142">
            <v>76.099999999999994</v>
          </cell>
          <cell r="L142">
            <v>9.6</v>
          </cell>
          <cell r="M142">
            <v>3.1</v>
          </cell>
          <cell r="N142">
            <v>11.200000000000001</v>
          </cell>
          <cell r="O142">
            <v>9.5</v>
          </cell>
          <cell r="P142">
            <v>37.799999999999997</v>
          </cell>
          <cell r="Q142">
            <v>2.8000000000000003</v>
          </cell>
          <cell r="R142">
            <v>4.5</v>
          </cell>
          <cell r="S142">
            <v>9.9</v>
          </cell>
          <cell r="T142">
            <v>32.1</v>
          </cell>
          <cell r="U142">
            <v>4.5999999999999996</v>
          </cell>
          <cell r="V142">
            <v>29.9</v>
          </cell>
          <cell r="W142">
            <v>5.2</v>
          </cell>
          <cell r="X142">
            <v>90.2</v>
          </cell>
          <cell r="Y142">
            <v>4.5</v>
          </cell>
          <cell r="Z142" t="str">
            <v>nd</v>
          </cell>
          <cell r="AA142">
            <v>59.599999999999994</v>
          </cell>
          <cell r="AB142">
            <v>9.6</v>
          </cell>
          <cell r="AC142">
            <v>57.699999999999996</v>
          </cell>
          <cell r="AD142">
            <v>25</v>
          </cell>
          <cell r="AE142">
            <v>21.7</v>
          </cell>
          <cell r="AF142">
            <v>78.3</v>
          </cell>
          <cell r="AG142">
            <v>81.8</v>
          </cell>
          <cell r="AH142">
            <v>18.2</v>
          </cell>
          <cell r="AI142">
            <v>20.5</v>
          </cell>
          <cell r="AJ142">
            <v>4.7</v>
          </cell>
          <cell r="AK142">
            <v>1.4000000000000001</v>
          </cell>
          <cell r="AL142">
            <v>69.8</v>
          </cell>
          <cell r="AM142">
            <v>3.6999999999999997</v>
          </cell>
          <cell r="AN142">
            <v>7.0000000000000009</v>
          </cell>
          <cell r="AO142">
            <v>4.2</v>
          </cell>
          <cell r="AP142">
            <v>2.8000000000000003</v>
          </cell>
          <cell r="AQ142">
            <v>76.2</v>
          </cell>
          <cell r="AR142">
            <v>9.8000000000000007</v>
          </cell>
          <cell r="AS142">
            <v>24.9</v>
          </cell>
          <cell r="AT142">
            <v>23.9</v>
          </cell>
          <cell r="AU142">
            <v>26.700000000000003</v>
          </cell>
          <cell r="AV142">
            <v>16.3</v>
          </cell>
          <cell r="AW142">
            <v>5</v>
          </cell>
          <cell r="AX142">
            <v>3.1</v>
          </cell>
          <cell r="AY142">
            <v>12.6</v>
          </cell>
          <cell r="AZ142">
            <v>19.100000000000001</v>
          </cell>
          <cell r="BA142">
            <v>27.800000000000004</v>
          </cell>
          <cell r="BB142">
            <v>16.2</v>
          </cell>
          <cell r="BC142">
            <v>20</v>
          </cell>
          <cell r="BD142">
            <v>4.3</v>
          </cell>
          <cell r="BE142" t="str">
            <v>nd</v>
          </cell>
          <cell r="BF142">
            <v>0.3</v>
          </cell>
          <cell r="BG142">
            <v>0.4</v>
          </cell>
          <cell r="BH142">
            <v>1</v>
          </cell>
          <cell r="BI142">
            <v>18.7</v>
          </cell>
          <cell r="BJ142">
            <v>79.400000000000006</v>
          </cell>
          <cell r="BK142">
            <v>0</v>
          </cell>
          <cell r="BL142">
            <v>0</v>
          </cell>
          <cell r="BM142">
            <v>0</v>
          </cell>
          <cell r="BN142">
            <v>10.9</v>
          </cell>
          <cell r="BO142">
            <v>79.5</v>
          </cell>
          <cell r="BP142">
            <v>9.6</v>
          </cell>
          <cell r="BQ142">
            <v>0</v>
          </cell>
          <cell r="BR142" t="str">
            <v>nd</v>
          </cell>
          <cell r="BS142">
            <v>0.1</v>
          </cell>
          <cell r="BT142">
            <v>15.2</v>
          </cell>
          <cell r="BU142">
            <v>75.3</v>
          </cell>
          <cell r="BV142">
            <v>9.1999999999999993</v>
          </cell>
          <cell r="BW142">
            <v>0</v>
          </cell>
          <cell r="BX142">
            <v>0</v>
          </cell>
          <cell r="BY142">
            <v>0</v>
          </cell>
          <cell r="BZ142">
            <v>0</v>
          </cell>
          <cell r="CA142">
            <v>0.5</v>
          </cell>
          <cell r="CB142">
            <v>99.5</v>
          </cell>
          <cell r="CC142">
            <v>17.2</v>
          </cell>
          <cell r="CD142">
            <v>21.9</v>
          </cell>
          <cell r="CE142">
            <v>1.0999999999999999</v>
          </cell>
          <cell r="CF142" t="str">
            <v>nd</v>
          </cell>
          <cell r="CG142">
            <v>0</v>
          </cell>
          <cell r="CH142">
            <v>10.6</v>
          </cell>
          <cell r="CI142">
            <v>13.600000000000001</v>
          </cell>
          <cell r="CJ142">
            <v>64.900000000000006</v>
          </cell>
          <cell r="CK142">
            <v>51</v>
          </cell>
          <cell r="CL142">
            <v>6.4</v>
          </cell>
          <cell r="CM142">
            <v>0.8</v>
          </cell>
          <cell r="CN142">
            <v>0.6</v>
          </cell>
          <cell r="CO142">
            <v>48.1</v>
          </cell>
          <cell r="CP142">
            <v>23.7</v>
          </cell>
          <cell r="CQ142">
            <v>33.700000000000003</v>
          </cell>
          <cell r="CR142">
            <v>8.3000000000000007</v>
          </cell>
          <cell r="CS142">
            <v>34.4</v>
          </cell>
          <cell r="CT142">
            <v>17.100000000000001</v>
          </cell>
          <cell r="CU142">
            <v>82.899999999999991</v>
          </cell>
          <cell r="CV142">
            <v>35.799999999999997</v>
          </cell>
          <cell r="CW142">
            <v>64.2</v>
          </cell>
          <cell r="CX142">
            <v>47.3</v>
          </cell>
          <cell r="CY142">
            <v>24</v>
          </cell>
          <cell r="CZ142">
            <v>28.7</v>
          </cell>
          <cell r="DA142">
            <v>59.099999999999994</v>
          </cell>
          <cell r="DB142">
            <v>7.8</v>
          </cell>
          <cell r="DC142">
            <v>1.0999999999999999</v>
          </cell>
          <cell r="DD142" t="str">
            <v>nd</v>
          </cell>
          <cell r="DE142">
            <v>50.6</v>
          </cell>
          <cell r="DF142">
            <v>14.899999999999999</v>
          </cell>
          <cell r="DG142">
            <v>7.1</v>
          </cell>
          <cell r="DH142">
            <v>19.100000000000001</v>
          </cell>
          <cell r="DI142">
            <v>17.100000000000001</v>
          </cell>
          <cell r="DJ142">
            <v>13.8</v>
          </cell>
          <cell r="DK142">
            <v>28.000000000000004</v>
          </cell>
          <cell r="DL142">
            <v>14.000000000000002</v>
          </cell>
          <cell r="DM142">
            <v>30.4</v>
          </cell>
          <cell r="DN142">
            <v>7.0000000000000009</v>
          </cell>
          <cell r="DO142">
            <v>25.2</v>
          </cell>
          <cell r="DP142">
            <v>15.8</v>
          </cell>
          <cell r="DQ142">
            <v>10.299999999999999</v>
          </cell>
          <cell r="DR142">
            <v>1.0999999999999999</v>
          </cell>
          <cell r="DS142">
            <v>36.700000000000003</v>
          </cell>
          <cell r="DT142">
            <v>17.899999999999999</v>
          </cell>
          <cell r="DU142">
            <v>0</v>
          </cell>
          <cell r="DV142">
            <v>0</v>
          </cell>
          <cell r="DW142">
            <v>0</v>
          </cell>
          <cell r="DX142">
            <v>0</v>
          </cell>
          <cell r="DY142">
            <v>0</v>
          </cell>
          <cell r="DZ142">
            <v>0.30130299999999999</v>
          </cell>
          <cell r="EA142">
            <v>0.69067100000000003</v>
          </cell>
          <cell r="EB142">
            <v>0.242866</v>
          </cell>
          <cell r="EC142">
            <v>1.0719299999999998</v>
          </cell>
          <cell r="ED142" t="str">
            <v>nd</v>
          </cell>
          <cell r="EE142" t="str">
            <v>nd</v>
          </cell>
          <cell r="EF142">
            <v>7.9691678000000001</v>
          </cell>
          <cell r="EG142">
            <v>8.7407664999999994</v>
          </cell>
          <cell r="EH142">
            <v>18.667202799999998</v>
          </cell>
          <cell r="EI142">
            <v>9.1848887999999995</v>
          </cell>
          <cell r="EJ142">
            <v>1.1135000000000002</v>
          </cell>
          <cell r="EK142">
            <v>0.77465899999999999</v>
          </cell>
          <cell r="EL142">
            <v>13.391591799999999</v>
          </cell>
          <cell r="EM142">
            <v>12.3337431</v>
          </cell>
          <cell r="EN142">
            <v>6.2487000000000004</v>
          </cell>
          <cell r="EO142">
            <v>3.0850599999999999</v>
          </cell>
          <cell r="EP142">
            <v>3.5168900000000001</v>
          </cell>
          <cell r="EQ142">
            <v>1.6084700000000001</v>
          </cell>
          <cell r="ER142">
            <v>2.8197399999999999</v>
          </cell>
          <cell r="ES142">
            <v>2.29345</v>
          </cell>
          <cell r="ET142">
            <v>1.71492</v>
          </cell>
          <cell r="EU142">
            <v>2.9844499999999998</v>
          </cell>
          <cell r="EV142">
            <v>0.32699800000000001</v>
          </cell>
          <cell r="EW142">
            <v>0.70725700000000002</v>
          </cell>
          <cell r="EX142">
            <v>0</v>
          </cell>
          <cell r="EY142">
            <v>0</v>
          </cell>
          <cell r="EZ142">
            <v>0</v>
          </cell>
          <cell r="FA142">
            <v>0</v>
          </cell>
          <cell r="FB142">
            <v>0</v>
          </cell>
          <cell r="FC142">
            <v>0.57330999999999999</v>
          </cell>
          <cell r="FD142">
            <v>0.84306999999999999</v>
          </cell>
          <cell r="FE142" t="str">
            <v>nd</v>
          </cell>
          <cell r="FF142">
            <v>0.56512799999999996</v>
          </cell>
          <cell r="FG142">
            <v>0.191106</v>
          </cell>
          <cell r="FH142">
            <v>0.15120400000000001</v>
          </cell>
          <cell r="FI142">
            <v>5.1979299999999995</v>
          </cell>
          <cell r="FJ142">
            <v>10.167087700000002</v>
          </cell>
          <cell r="FK142">
            <v>15.172633099999999</v>
          </cell>
          <cell r="FL142">
            <v>6.5547101999999997</v>
          </cell>
          <cell r="FM142">
            <v>8.1717197000000006</v>
          </cell>
          <cell r="FN142">
            <v>1.5096699999999998</v>
          </cell>
          <cell r="FO142">
            <v>6.0156499999999999</v>
          </cell>
          <cell r="FP142">
            <v>5.0349199999999996</v>
          </cell>
          <cell r="FQ142">
            <v>9.7989208999999988</v>
          </cell>
          <cell r="FR142">
            <v>7.3322952999999993</v>
          </cell>
          <cell r="FS142">
            <v>9.5427976000000001</v>
          </cell>
          <cell r="FT142">
            <v>2.0912199999999999</v>
          </cell>
          <cell r="FU142">
            <v>0.85985</v>
          </cell>
          <cell r="FV142">
            <v>3.1237200000000001</v>
          </cell>
          <cell r="FW142">
            <v>2.7690399999999999</v>
          </cell>
          <cell r="FX142">
            <v>1.8547500000000001</v>
          </cell>
          <cell r="FY142">
            <v>1.7324699999999997</v>
          </cell>
          <cell r="FZ142">
            <v>0.552786</v>
          </cell>
          <cell r="GA142">
            <v>0</v>
          </cell>
          <cell r="GB142">
            <v>0</v>
          </cell>
          <cell r="GC142">
            <v>0</v>
          </cell>
          <cell r="GD142">
            <v>0</v>
          </cell>
          <cell r="GE142">
            <v>0</v>
          </cell>
          <cell r="GF142">
            <v>0</v>
          </cell>
          <cell r="GG142">
            <v>0.33760499999999999</v>
          </cell>
          <cell r="GH142" t="str">
            <v>nd</v>
          </cell>
          <cell r="GI142">
            <v>0.18243999999999999</v>
          </cell>
          <cell r="GJ142">
            <v>0.56151799999999996</v>
          </cell>
          <cell r="GK142">
            <v>1.4024699999999999</v>
          </cell>
          <cell r="GL142" t="str">
            <v>nd</v>
          </cell>
          <cell r="GM142">
            <v>0</v>
          </cell>
          <cell r="GN142">
            <v>0.31887199999999999</v>
          </cell>
          <cell r="GO142">
            <v>0.43069199999999996</v>
          </cell>
          <cell r="GP142">
            <v>9.8666929000000003</v>
          </cell>
          <cell r="GQ142">
            <v>36.431862100000004</v>
          </cell>
          <cell r="GR142">
            <v>0</v>
          </cell>
          <cell r="GS142">
            <v>0</v>
          </cell>
          <cell r="GT142" t="str">
            <v>nd</v>
          </cell>
          <cell r="GU142" t="str">
            <v>nd</v>
          </cell>
          <cell r="GV142">
            <v>6.861033599999999</v>
          </cell>
          <cell r="GW142">
            <v>32.242428099999998</v>
          </cell>
          <cell r="GX142">
            <v>0</v>
          </cell>
          <cell r="GY142">
            <v>0</v>
          </cell>
          <cell r="GZ142">
            <v>0</v>
          </cell>
          <cell r="HA142" t="str">
            <v>nd</v>
          </cell>
          <cell r="HB142">
            <v>1.23099</v>
          </cell>
          <cell r="HC142">
            <v>9.5322876999999995</v>
          </cell>
          <cell r="HD142">
            <v>0</v>
          </cell>
          <cell r="HE142">
            <v>0</v>
          </cell>
          <cell r="HF142">
            <v>0</v>
          </cell>
          <cell r="HG142">
            <v>0</v>
          </cell>
          <cell r="HH142">
            <v>0</v>
          </cell>
          <cell r="HI142">
            <v>0</v>
          </cell>
          <cell r="HJ142">
            <v>0</v>
          </cell>
          <cell r="HK142">
            <v>0</v>
          </cell>
          <cell r="HL142" t="str">
            <v>nd</v>
          </cell>
          <cell r="HM142">
            <v>1.5318699999999998</v>
          </cell>
          <cell r="HN142">
            <v>0.25659900000000002</v>
          </cell>
          <cell r="HO142">
            <v>0</v>
          </cell>
          <cell r="HP142">
            <v>0</v>
          </cell>
          <cell r="HQ142">
            <v>0</v>
          </cell>
          <cell r="HR142">
            <v>9.8044014999999991</v>
          </cell>
          <cell r="HS142">
            <v>34.742167099999996</v>
          </cell>
          <cell r="HT142">
            <v>2.2825299999999999</v>
          </cell>
          <cell r="HU142">
            <v>0</v>
          </cell>
          <cell r="HV142">
            <v>0</v>
          </cell>
          <cell r="HW142">
            <v>0</v>
          </cell>
          <cell r="HX142">
            <v>0.36848200000000003</v>
          </cell>
          <cell r="HY142">
            <v>33.811515700000001</v>
          </cell>
          <cell r="HZ142">
            <v>5.9396499999999994</v>
          </cell>
          <cell r="IA142">
            <v>0</v>
          </cell>
          <cell r="IB142">
            <v>0</v>
          </cell>
          <cell r="IC142">
            <v>0</v>
          </cell>
          <cell r="ID142" t="str">
            <v>nd</v>
          </cell>
          <cell r="IE142">
            <v>9.3015309000000013</v>
          </cell>
          <cell r="IF142">
            <v>1.1390600000000002</v>
          </cell>
          <cell r="IG142">
            <v>0</v>
          </cell>
          <cell r="IH142">
            <v>0</v>
          </cell>
          <cell r="II142">
            <v>0</v>
          </cell>
          <cell r="IJ142">
            <v>0</v>
          </cell>
          <cell r="IK142">
            <v>0</v>
          </cell>
          <cell r="IL142">
            <v>0</v>
          </cell>
          <cell r="IM142">
            <v>0</v>
          </cell>
          <cell r="IN142" t="str">
            <v>nd</v>
          </cell>
          <cell r="IO142">
            <v>0.761911</v>
          </cell>
          <cell r="IP142">
            <v>1.3869400000000001</v>
          </cell>
          <cell r="IQ142">
            <v>0.29148000000000002</v>
          </cell>
          <cell r="IR142">
            <v>0</v>
          </cell>
          <cell r="IS142">
            <v>0</v>
          </cell>
          <cell r="IT142" t="str">
            <v>nd</v>
          </cell>
          <cell r="IU142">
            <v>7.3212766</v>
          </cell>
          <cell r="IV142">
            <v>36.350798699999999</v>
          </cell>
          <cell r="IW142">
            <v>2.7183800000000002</v>
          </cell>
          <cell r="IX142">
            <v>0</v>
          </cell>
          <cell r="IY142" t="str">
            <v>nd</v>
          </cell>
          <cell r="IZ142">
            <v>0</v>
          </cell>
          <cell r="JA142">
            <v>4.9665599999999994</v>
          </cell>
          <cell r="JB142">
            <v>29.353617399999997</v>
          </cell>
          <cell r="JC142">
            <v>5.7177999999999995</v>
          </cell>
          <cell r="JD142">
            <v>0</v>
          </cell>
          <cell r="JE142">
            <v>0</v>
          </cell>
          <cell r="JF142" t="str">
            <v>nd</v>
          </cell>
          <cell r="JG142">
            <v>2.1669200000000002</v>
          </cell>
          <cell r="JH142">
            <v>8.1572037999999996</v>
          </cell>
          <cell r="JI142">
            <v>0.542045</v>
          </cell>
          <cell r="JJ142">
            <v>0</v>
          </cell>
          <cell r="JK142">
            <v>0</v>
          </cell>
          <cell r="JL142">
            <v>0</v>
          </cell>
          <cell r="JM142">
            <v>0</v>
          </cell>
          <cell r="JN142">
            <v>0</v>
          </cell>
          <cell r="JO142">
            <v>0</v>
          </cell>
          <cell r="JP142">
            <v>0</v>
          </cell>
          <cell r="JQ142">
            <v>0</v>
          </cell>
          <cell r="JR142">
            <v>0</v>
          </cell>
          <cell r="JS142">
            <v>0</v>
          </cell>
          <cell r="JT142">
            <v>2.47533</v>
          </cell>
          <cell r="JU142">
            <v>0</v>
          </cell>
          <cell r="JV142">
            <v>0</v>
          </cell>
          <cell r="JW142">
            <v>0</v>
          </cell>
          <cell r="JX142">
            <v>0</v>
          </cell>
          <cell r="JY142" t="str">
            <v>nd</v>
          </cell>
          <cell r="JZ142">
            <v>46.543742199999997</v>
          </cell>
          <cell r="KA142">
            <v>0</v>
          </cell>
          <cell r="KB142">
            <v>0</v>
          </cell>
          <cell r="KC142">
            <v>0</v>
          </cell>
          <cell r="KD142">
            <v>0</v>
          </cell>
          <cell r="KE142" t="str">
            <v>nd</v>
          </cell>
          <cell r="KF142">
            <v>39.666507299999999</v>
          </cell>
          <cell r="KG142">
            <v>0</v>
          </cell>
          <cell r="KH142">
            <v>0</v>
          </cell>
          <cell r="KI142">
            <v>0</v>
          </cell>
          <cell r="KJ142">
            <v>0</v>
          </cell>
          <cell r="KK142" t="str">
            <v>nd</v>
          </cell>
          <cell r="KL142">
            <v>10.8641024</v>
          </cell>
          <cell r="KM142">
            <v>49.2</v>
          </cell>
          <cell r="KN142">
            <v>36.700000000000003</v>
          </cell>
          <cell r="KO142">
            <v>1.5</v>
          </cell>
          <cell r="KP142">
            <v>5.8999999999999995</v>
          </cell>
          <cell r="KQ142">
            <v>6.6000000000000005</v>
          </cell>
          <cell r="KR142">
            <v>0.1</v>
          </cell>
          <cell r="KS142">
            <v>48</v>
          </cell>
          <cell r="KT142">
            <v>35.5</v>
          </cell>
          <cell r="KU142">
            <v>1.6</v>
          </cell>
          <cell r="KV142">
            <v>7.1</v>
          </cell>
          <cell r="KW142">
            <v>7.7</v>
          </cell>
          <cell r="KX142">
            <v>0.1</v>
          </cell>
          <cell r="KY142"/>
          <cell r="KZ142"/>
          <cell r="LA142"/>
          <cell r="LB142"/>
          <cell r="LC142"/>
          <cell r="LD142"/>
          <cell r="LE142"/>
          <cell r="LF142"/>
          <cell r="LG142"/>
          <cell r="LH142"/>
          <cell r="LI142"/>
          <cell r="LJ142"/>
          <cell r="LK142"/>
          <cell r="LL142"/>
          <cell r="LM142"/>
          <cell r="LN142"/>
          <cell r="LO142"/>
        </row>
        <row r="143">
          <cell r="A143" t="str">
            <v>EnsLZ</v>
          </cell>
          <cell r="B143" t="str">
            <v>143</v>
          </cell>
          <cell r="C143" t="str">
            <v>NAF 38</v>
          </cell>
          <cell r="D143" t="str">
            <v>LZ</v>
          </cell>
          <cell r="E143" t="str">
            <v/>
          </cell>
          <cell r="F143" t="str">
            <v>nd</v>
          </cell>
          <cell r="G143">
            <v>3.9</v>
          </cell>
          <cell r="H143">
            <v>20.7</v>
          </cell>
          <cell r="I143">
            <v>66.900000000000006</v>
          </cell>
          <cell r="J143">
            <v>7.0000000000000009</v>
          </cell>
          <cell r="K143">
            <v>68.899999999999991</v>
          </cell>
          <cell r="L143">
            <v>19.5</v>
          </cell>
          <cell r="M143">
            <v>6</v>
          </cell>
          <cell r="N143">
            <v>5.6000000000000005</v>
          </cell>
          <cell r="O143">
            <v>14.299999999999999</v>
          </cell>
          <cell r="P143">
            <v>40.1</v>
          </cell>
          <cell r="Q143">
            <v>4.7</v>
          </cell>
          <cell r="R143">
            <v>8.7999999999999989</v>
          </cell>
          <cell r="S143">
            <v>9.4</v>
          </cell>
          <cell r="T143">
            <v>8.1</v>
          </cell>
          <cell r="U143">
            <v>6.9</v>
          </cell>
          <cell r="V143">
            <v>35.6</v>
          </cell>
          <cell r="W143">
            <v>6.1</v>
          </cell>
          <cell r="X143">
            <v>85.3</v>
          </cell>
          <cell r="Y143">
            <v>8.6</v>
          </cell>
          <cell r="Z143">
            <v>0</v>
          </cell>
          <cell r="AA143" t="str">
            <v>nd</v>
          </cell>
          <cell r="AB143" t="str">
            <v>nd</v>
          </cell>
          <cell r="AC143">
            <v>57.4</v>
          </cell>
          <cell r="AD143">
            <v>27.900000000000002</v>
          </cell>
          <cell r="AE143">
            <v>43.8</v>
          </cell>
          <cell r="AF143">
            <v>56.2</v>
          </cell>
          <cell r="AG143">
            <v>87.9</v>
          </cell>
          <cell r="AH143">
            <v>12.1</v>
          </cell>
          <cell r="AI143">
            <v>22.7</v>
          </cell>
          <cell r="AJ143">
            <v>11.600000000000001</v>
          </cell>
          <cell r="AK143" t="str">
            <v>nd</v>
          </cell>
          <cell r="AL143">
            <v>60.3</v>
          </cell>
          <cell r="AM143">
            <v>4.9000000000000004</v>
          </cell>
          <cell r="AN143">
            <v>3.3000000000000003</v>
          </cell>
          <cell r="AO143" t="str">
            <v>nd</v>
          </cell>
          <cell r="AP143" t="str">
            <v>nd</v>
          </cell>
          <cell r="AQ143">
            <v>88.4</v>
          </cell>
          <cell r="AR143">
            <v>4.9000000000000004</v>
          </cell>
          <cell r="AS143">
            <v>54</v>
          </cell>
          <cell r="AT143">
            <v>13.200000000000001</v>
          </cell>
          <cell r="AU143">
            <v>7.5</v>
          </cell>
          <cell r="AV143">
            <v>16.900000000000002</v>
          </cell>
          <cell r="AW143">
            <v>3.3000000000000003</v>
          </cell>
          <cell r="AX143">
            <v>5.0999999999999996</v>
          </cell>
          <cell r="AY143">
            <v>2.9000000000000004</v>
          </cell>
          <cell r="AZ143">
            <v>18.099999999999998</v>
          </cell>
          <cell r="BA143">
            <v>12.6</v>
          </cell>
          <cell r="BB143">
            <v>15.5</v>
          </cell>
          <cell r="BC143">
            <v>29.4</v>
          </cell>
          <cell r="BD143">
            <v>21.6</v>
          </cell>
          <cell r="BE143">
            <v>0</v>
          </cell>
          <cell r="BF143" t="str">
            <v>nd</v>
          </cell>
          <cell r="BG143">
            <v>1.7999999999999998</v>
          </cell>
          <cell r="BH143">
            <v>2.1</v>
          </cell>
          <cell r="BI143">
            <v>33.900000000000006</v>
          </cell>
          <cell r="BJ143">
            <v>60.199999999999996</v>
          </cell>
          <cell r="BK143">
            <v>0</v>
          </cell>
          <cell r="BL143">
            <v>0</v>
          </cell>
          <cell r="BM143">
            <v>0</v>
          </cell>
          <cell r="BN143">
            <v>4.9000000000000004</v>
          </cell>
          <cell r="BO143">
            <v>73.5</v>
          </cell>
          <cell r="BP143">
            <v>21.5</v>
          </cell>
          <cell r="BQ143">
            <v>0</v>
          </cell>
          <cell r="BR143">
            <v>0</v>
          </cell>
          <cell r="BS143" t="str">
            <v>nd</v>
          </cell>
          <cell r="BT143">
            <v>17</v>
          </cell>
          <cell r="BU143">
            <v>60</v>
          </cell>
          <cell r="BV143">
            <v>21.8</v>
          </cell>
          <cell r="BW143">
            <v>0</v>
          </cell>
          <cell r="BX143">
            <v>0</v>
          </cell>
          <cell r="BY143">
            <v>0</v>
          </cell>
          <cell r="BZ143">
            <v>0</v>
          </cell>
          <cell r="CA143">
            <v>0.89999999999999991</v>
          </cell>
          <cell r="CB143">
            <v>99.1</v>
          </cell>
          <cell r="CC143">
            <v>27.400000000000002</v>
          </cell>
          <cell r="CD143">
            <v>16.3</v>
          </cell>
          <cell r="CE143">
            <v>0.89999999999999991</v>
          </cell>
          <cell r="CF143">
            <v>0</v>
          </cell>
          <cell r="CG143">
            <v>0</v>
          </cell>
          <cell r="CH143">
            <v>16.3</v>
          </cell>
          <cell r="CI143">
            <v>10.299999999999999</v>
          </cell>
          <cell r="CJ143">
            <v>53.300000000000004</v>
          </cell>
          <cell r="CK143">
            <v>36.199999999999996</v>
          </cell>
          <cell r="CL143">
            <v>4</v>
          </cell>
          <cell r="CM143">
            <v>1.5</v>
          </cell>
          <cell r="CN143" t="str">
            <v>nd</v>
          </cell>
          <cell r="CO143">
            <v>59.099999999999994</v>
          </cell>
          <cell r="CP143">
            <v>24.2</v>
          </cell>
          <cell r="CQ143">
            <v>26.400000000000002</v>
          </cell>
          <cell r="CR143">
            <v>4.1000000000000005</v>
          </cell>
          <cell r="CS143">
            <v>45.300000000000004</v>
          </cell>
          <cell r="CT143">
            <v>17.100000000000001</v>
          </cell>
          <cell r="CU143">
            <v>82.899999999999991</v>
          </cell>
          <cell r="CV143">
            <v>25.2</v>
          </cell>
          <cell r="CW143">
            <v>74.8</v>
          </cell>
          <cell r="CX143">
            <v>19.2</v>
          </cell>
          <cell r="CY143">
            <v>27.900000000000002</v>
          </cell>
          <cell r="CZ143">
            <v>52.900000000000006</v>
          </cell>
          <cell r="DA143">
            <v>35.299999999999997</v>
          </cell>
          <cell r="DB143" t="str">
            <v>nd</v>
          </cell>
          <cell r="DC143">
            <v>19.2</v>
          </cell>
          <cell r="DD143" t="str">
            <v>nd</v>
          </cell>
          <cell r="DE143">
            <v>68.300000000000011</v>
          </cell>
          <cell r="DF143">
            <v>25.6</v>
          </cell>
          <cell r="DG143">
            <v>11.4</v>
          </cell>
          <cell r="DH143">
            <v>21.5</v>
          </cell>
          <cell r="DI143">
            <v>16.600000000000001</v>
          </cell>
          <cell r="DJ143">
            <v>8.2000000000000011</v>
          </cell>
          <cell r="DK143">
            <v>16.8</v>
          </cell>
          <cell r="DL143">
            <v>19</v>
          </cell>
          <cell r="DM143">
            <v>20.8</v>
          </cell>
          <cell r="DN143">
            <v>13.3</v>
          </cell>
          <cell r="DO143">
            <v>31.5</v>
          </cell>
          <cell r="DP143">
            <v>8</v>
          </cell>
          <cell r="DQ143">
            <v>1.2</v>
          </cell>
          <cell r="DR143">
            <v>4.8</v>
          </cell>
          <cell r="DS143">
            <v>37.299999999999997</v>
          </cell>
          <cell r="DT143">
            <v>17.399999999999999</v>
          </cell>
          <cell r="DU143">
            <v>0</v>
          </cell>
          <cell r="DV143">
            <v>0</v>
          </cell>
          <cell r="DW143">
            <v>0</v>
          </cell>
          <cell r="DX143" t="str">
            <v>nd</v>
          </cell>
          <cell r="DY143" t="str">
            <v>nd</v>
          </cell>
          <cell r="DZ143">
            <v>2.0789300000000002</v>
          </cell>
          <cell r="EA143">
            <v>0</v>
          </cell>
          <cell r="EB143">
            <v>0</v>
          </cell>
          <cell r="EC143" t="str">
            <v>nd</v>
          </cell>
          <cell r="ED143" t="str">
            <v>nd</v>
          </cell>
          <cell r="EE143" t="str">
            <v>nd</v>
          </cell>
          <cell r="EF143">
            <v>8.5261765</v>
          </cell>
          <cell r="EG143" t="str">
            <v>nd</v>
          </cell>
          <cell r="EH143">
            <v>3.2198699999999998</v>
          </cell>
          <cell r="EI143">
            <v>8.0206585999999991</v>
          </cell>
          <cell r="EJ143" t="str">
            <v>nd</v>
          </cell>
          <cell r="EK143" t="str">
            <v>nd</v>
          </cell>
          <cell r="EL143">
            <v>38.418927500000002</v>
          </cell>
          <cell r="EM143">
            <v>12.236703</v>
          </cell>
          <cell r="EN143">
            <v>3.89242</v>
          </cell>
          <cell r="EO143">
            <v>6.9769679</v>
          </cell>
          <cell r="EP143">
            <v>2.3169300000000002</v>
          </cell>
          <cell r="EQ143">
            <v>3.5664599999999997</v>
          </cell>
          <cell r="ER143">
            <v>4.8575300000000006</v>
          </cell>
          <cell r="ES143" t="str">
            <v>nd</v>
          </cell>
          <cell r="ET143" t="str">
            <v>nd</v>
          </cell>
          <cell r="EU143">
            <v>0</v>
          </cell>
          <cell r="EV143">
            <v>0</v>
          </cell>
          <cell r="EW143">
            <v>0</v>
          </cell>
          <cell r="EX143">
            <v>0</v>
          </cell>
          <cell r="EY143">
            <v>0</v>
          </cell>
          <cell r="EZ143">
            <v>0</v>
          </cell>
          <cell r="FA143">
            <v>0</v>
          </cell>
          <cell r="FB143" t="str">
            <v>nd</v>
          </cell>
          <cell r="FC143" t="str">
            <v>nd</v>
          </cell>
          <cell r="FD143">
            <v>0</v>
          </cell>
          <cell r="FE143">
            <v>0</v>
          </cell>
          <cell r="FF143" t="str">
            <v>nd</v>
          </cell>
          <cell r="FG143" t="str">
            <v>nd</v>
          </cell>
          <cell r="FH143">
            <v>2.3304200000000002</v>
          </cell>
          <cell r="FI143" t="str">
            <v>nd</v>
          </cell>
          <cell r="FJ143">
            <v>6.9414412999999993</v>
          </cell>
          <cell r="FK143">
            <v>3.6068999999999996</v>
          </cell>
          <cell r="FL143">
            <v>2.6036199999999998</v>
          </cell>
          <cell r="FM143">
            <v>5.1154400000000004</v>
          </cell>
          <cell r="FN143">
            <v>2.9072400000000003</v>
          </cell>
          <cell r="FO143">
            <v>1.80979</v>
          </cell>
          <cell r="FP143">
            <v>10.868724500000001</v>
          </cell>
          <cell r="FQ143">
            <v>8.5895420999999992</v>
          </cell>
          <cell r="FR143">
            <v>11.1723801</v>
          </cell>
          <cell r="FS143">
            <v>21.528926800000001</v>
          </cell>
          <cell r="FT143">
            <v>11.065656199999999</v>
          </cell>
          <cell r="FU143">
            <v>0</v>
          </cell>
          <cell r="FV143" t="str">
            <v>nd</v>
          </cell>
          <cell r="FW143" t="str">
            <v>nd</v>
          </cell>
          <cell r="FX143" t="str">
            <v>nd</v>
          </cell>
          <cell r="FY143">
            <v>2.45499</v>
          </cell>
          <cell r="FZ143">
            <v>3.6142300000000001</v>
          </cell>
          <cell r="GA143">
            <v>0</v>
          </cell>
          <cell r="GB143">
            <v>0</v>
          </cell>
          <cell r="GC143">
            <v>0</v>
          </cell>
          <cell r="GD143">
            <v>0</v>
          </cell>
          <cell r="GE143" t="str">
            <v>nd</v>
          </cell>
          <cell r="GF143">
            <v>0</v>
          </cell>
          <cell r="GG143" t="str">
            <v>nd</v>
          </cell>
          <cell r="GH143">
            <v>0</v>
          </cell>
          <cell r="GI143">
            <v>0</v>
          </cell>
          <cell r="GJ143" t="str">
            <v>nd</v>
          </cell>
          <cell r="GK143">
            <v>2.3529399999999998</v>
          </cell>
          <cell r="GL143">
            <v>0</v>
          </cell>
          <cell r="GM143">
            <v>0</v>
          </cell>
          <cell r="GN143" t="str">
            <v>nd</v>
          </cell>
          <cell r="GO143" t="str">
            <v>nd</v>
          </cell>
          <cell r="GP143">
            <v>12.6628446</v>
          </cell>
          <cell r="GQ143">
            <v>7.3014076999999995</v>
          </cell>
          <cell r="GR143">
            <v>0</v>
          </cell>
          <cell r="GS143">
            <v>0</v>
          </cell>
          <cell r="GT143" t="str">
            <v>nd</v>
          </cell>
          <cell r="GU143" t="str">
            <v>nd</v>
          </cell>
          <cell r="GV143">
            <v>17.827992300000002</v>
          </cell>
          <cell r="GW143">
            <v>45.627077999999997</v>
          </cell>
          <cell r="GX143">
            <v>0</v>
          </cell>
          <cell r="GY143">
            <v>0</v>
          </cell>
          <cell r="GZ143">
            <v>0</v>
          </cell>
          <cell r="HA143">
            <v>0</v>
          </cell>
          <cell r="HB143">
            <v>2.7349899999999998</v>
          </cell>
          <cell r="HC143">
            <v>4.19184</v>
          </cell>
          <cell r="HD143">
            <v>0</v>
          </cell>
          <cell r="HE143" t="str">
            <v>nd</v>
          </cell>
          <cell r="HF143">
            <v>0</v>
          </cell>
          <cell r="HG143">
            <v>0</v>
          </cell>
          <cell r="HH143" t="str">
            <v>nd</v>
          </cell>
          <cell r="HI143">
            <v>0</v>
          </cell>
          <cell r="HJ143">
            <v>0</v>
          </cell>
          <cell r="HK143">
            <v>0</v>
          </cell>
          <cell r="HL143">
            <v>0</v>
          </cell>
          <cell r="HM143">
            <v>1.9834299999999998</v>
          </cell>
          <cell r="HN143">
            <v>2.4593600000000002</v>
          </cell>
          <cell r="HO143">
            <v>0</v>
          </cell>
          <cell r="HP143">
            <v>0</v>
          </cell>
          <cell r="HQ143">
            <v>0</v>
          </cell>
          <cell r="HR143">
            <v>2.0026100000000002</v>
          </cell>
          <cell r="HS143">
            <v>18.314124899999999</v>
          </cell>
          <cell r="HT143">
            <v>1.6146100000000001</v>
          </cell>
          <cell r="HU143">
            <v>0</v>
          </cell>
          <cell r="HV143">
            <v>0</v>
          </cell>
          <cell r="HW143">
            <v>0</v>
          </cell>
          <cell r="HX143">
            <v>2.61504</v>
          </cell>
          <cell r="HY143">
            <v>48.5056364</v>
          </cell>
          <cell r="HZ143">
            <v>14.832900199999999</v>
          </cell>
          <cell r="IA143">
            <v>0</v>
          </cell>
          <cell r="IB143">
            <v>0</v>
          </cell>
          <cell r="IC143">
            <v>0</v>
          </cell>
          <cell r="ID143" t="str">
            <v>nd</v>
          </cell>
          <cell r="IE143">
            <v>4.2765699999999995</v>
          </cell>
          <cell r="IF143">
            <v>1.5755499999999998</v>
          </cell>
          <cell r="IG143">
            <v>0</v>
          </cell>
          <cell r="IH143">
            <v>0</v>
          </cell>
          <cell r="II143">
            <v>0</v>
          </cell>
          <cell r="IJ143" t="str">
            <v>nd</v>
          </cell>
          <cell r="IK143" t="str">
            <v>nd</v>
          </cell>
          <cell r="IL143">
            <v>0</v>
          </cell>
          <cell r="IM143">
            <v>0</v>
          </cell>
          <cell r="IN143" t="str">
            <v>nd</v>
          </cell>
          <cell r="IO143" t="str">
            <v>nd</v>
          </cell>
          <cell r="IP143" t="str">
            <v>nd</v>
          </cell>
          <cell r="IQ143">
            <v>2.62338</v>
          </cell>
          <cell r="IR143">
            <v>0</v>
          </cell>
          <cell r="IS143">
            <v>0</v>
          </cell>
          <cell r="IT143">
            <v>0</v>
          </cell>
          <cell r="IU143">
            <v>5.6357999999999997</v>
          </cell>
          <cell r="IV143">
            <v>14.287508900000001</v>
          </cell>
          <cell r="IW143">
            <v>1.7532599999999998</v>
          </cell>
          <cell r="IX143">
            <v>0</v>
          </cell>
          <cell r="IY143">
            <v>0</v>
          </cell>
          <cell r="IZ143" t="str">
            <v>nd</v>
          </cell>
          <cell r="JA143">
            <v>8.6575895000000003</v>
          </cell>
          <cell r="JB143">
            <v>41.806755600000002</v>
          </cell>
          <cell r="JC143">
            <v>14.6596639</v>
          </cell>
          <cell r="JD143">
            <v>0</v>
          </cell>
          <cell r="JE143">
            <v>0</v>
          </cell>
          <cell r="JF143">
            <v>0</v>
          </cell>
          <cell r="JG143" t="str">
            <v>nd</v>
          </cell>
          <cell r="JH143">
            <v>3.8334700000000002</v>
          </cell>
          <cell r="JI143">
            <v>2.1428699999999998</v>
          </cell>
          <cell r="JJ143">
            <v>0</v>
          </cell>
          <cell r="JK143">
            <v>0</v>
          </cell>
          <cell r="JL143">
            <v>0</v>
          </cell>
          <cell r="JM143">
            <v>0</v>
          </cell>
          <cell r="JN143" t="str">
            <v>nd</v>
          </cell>
          <cell r="JO143">
            <v>0</v>
          </cell>
          <cell r="JP143">
            <v>0</v>
          </cell>
          <cell r="JQ143">
            <v>0</v>
          </cell>
          <cell r="JR143">
            <v>0</v>
          </cell>
          <cell r="JS143">
            <v>0</v>
          </cell>
          <cell r="JT143">
            <v>4.4307600000000003</v>
          </cell>
          <cell r="JU143">
            <v>0</v>
          </cell>
          <cell r="JV143">
            <v>0</v>
          </cell>
          <cell r="JW143">
            <v>0</v>
          </cell>
          <cell r="JX143">
            <v>0</v>
          </cell>
          <cell r="JY143" t="str">
            <v>nd</v>
          </cell>
          <cell r="JZ143">
            <v>21.8047091</v>
          </cell>
          <cell r="KA143">
            <v>0</v>
          </cell>
          <cell r="KB143">
            <v>0</v>
          </cell>
          <cell r="KC143">
            <v>0</v>
          </cell>
          <cell r="KD143">
            <v>0</v>
          </cell>
          <cell r="KE143" t="str">
            <v>nd</v>
          </cell>
          <cell r="KF143">
            <v>64.283799600000009</v>
          </cell>
          <cell r="KG143">
            <v>0</v>
          </cell>
          <cell r="KH143">
            <v>0</v>
          </cell>
          <cell r="KI143">
            <v>0</v>
          </cell>
          <cell r="KJ143">
            <v>0</v>
          </cell>
          <cell r="KK143">
            <v>0</v>
          </cell>
          <cell r="KL143">
            <v>7.0151242000000007</v>
          </cell>
          <cell r="KM143">
            <v>59.599999999999994</v>
          </cell>
          <cell r="KN143">
            <v>22.6</v>
          </cell>
          <cell r="KO143">
            <v>4.2</v>
          </cell>
          <cell r="KP143">
            <v>6.1</v>
          </cell>
          <cell r="KQ143">
            <v>7.3999999999999995</v>
          </cell>
          <cell r="KR143">
            <v>0</v>
          </cell>
          <cell r="KS143">
            <v>59.5</v>
          </cell>
          <cell r="KT143">
            <v>21.9</v>
          </cell>
          <cell r="KU143">
            <v>4</v>
          </cell>
          <cell r="KV143">
            <v>6.3</v>
          </cell>
          <cell r="KW143">
            <v>8.3000000000000007</v>
          </cell>
          <cell r="KX143">
            <v>0</v>
          </cell>
          <cell r="KY143"/>
          <cell r="KZ143"/>
          <cell r="LA143"/>
          <cell r="LB143"/>
          <cell r="LC143"/>
          <cell r="LD143"/>
          <cell r="LE143"/>
          <cell r="LF143"/>
          <cell r="LG143"/>
          <cell r="LH143"/>
          <cell r="LI143"/>
          <cell r="LJ143"/>
          <cell r="LK143"/>
          <cell r="LL143"/>
          <cell r="LM143"/>
          <cell r="LN143"/>
          <cell r="LO143"/>
        </row>
        <row r="144">
          <cell r="A144" t="str">
            <v>EnsMA</v>
          </cell>
          <cell r="B144" t="str">
            <v>144</v>
          </cell>
          <cell r="C144" t="str">
            <v>NAF 38</v>
          </cell>
          <cell r="D144" t="str">
            <v>MA</v>
          </cell>
          <cell r="E144" t="str">
            <v/>
          </cell>
          <cell r="F144">
            <v>0.3</v>
          </cell>
          <cell r="G144">
            <v>8.6</v>
          </cell>
          <cell r="H144">
            <v>42.4</v>
          </cell>
          <cell r="I144">
            <v>40.200000000000003</v>
          </cell>
          <cell r="J144">
            <v>8.5</v>
          </cell>
          <cell r="K144">
            <v>79.600000000000009</v>
          </cell>
          <cell r="L144">
            <v>13.700000000000001</v>
          </cell>
          <cell r="M144">
            <v>3.5999999999999996</v>
          </cell>
          <cell r="N144">
            <v>3.2</v>
          </cell>
          <cell r="O144">
            <v>31.5</v>
          </cell>
          <cell r="P144">
            <v>30.2</v>
          </cell>
          <cell r="Q144">
            <v>7.3</v>
          </cell>
          <cell r="R144">
            <v>6.6000000000000005</v>
          </cell>
          <cell r="S144">
            <v>5.8000000000000007</v>
          </cell>
          <cell r="T144">
            <v>39.900000000000006</v>
          </cell>
          <cell r="U144">
            <v>7.1</v>
          </cell>
          <cell r="V144">
            <v>29.5</v>
          </cell>
          <cell r="W144">
            <v>12.9</v>
          </cell>
          <cell r="X144">
            <v>83.1</v>
          </cell>
          <cell r="Y144">
            <v>4</v>
          </cell>
          <cell r="Z144">
            <v>4.3999999999999995</v>
          </cell>
          <cell r="AA144">
            <v>30.7</v>
          </cell>
          <cell r="AB144">
            <v>12.3</v>
          </cell>
          <cell r="AC144">
            <v>66.7</v>
          </cell>
          <cell r="AD144">
            <v>36</v>
          </cell>
          <cell r="AE144">
            <v>56.8</v>
          </cell>
          <cell r="AF144">
            <v>43.2</v>
          </cell>
          <cell r="AG144">
            <v>53.2</v>
          </cell>
          <cell r="AH144">
            <v>46.800000000000004</v>
          </cell>
          <cell r="AI144">
            <v>60.4</v>
          </cell>
          <cell r="AJ144">
            <v>6.7</v>
          </cell>
          <cell r="AK144">
            <v>2.7</v>
          </cell>
          <cell r="AL144">
            <v>21.8</v>
          </cell>
          <cell r="AM144">
            <v>8.5</v>
          </cell>
          <cell r="AN144">
            <v>12.9</v>
          </cell>
          <cell r="AO144">
            <v>3.9</v>
          </cell>
          <cell r="AP144">
            <v>12.8</v>
          </cell>
          <cell r="AQ144">
            <v>56.699999999999996</v>
          </cell>
          <cell r="AR144">
            <v>13.700000000000001</v>
          </cell>
          <cell r="AS144">
            <v>34.799999999999997</v>
          </cell>
          <cell r="AT144">
            <v>19.8</v>
          </cell>
          <cell r="AU144">
            <v>10.5</v>
          </cell>
          <cell r="AV144">
            <v>19</v>
          </cell>
          <cell r="AW144">
            <v>9.8000000000000007</v>
          </cell>
          <cell r="AX144">
            <v>6</v>
          </cell>
          <cell r="AY144">
            <v>13.200000000000001</v>
          </cell>
          <cell r="AZ144">
            <v>20</v>
          </cell>
          <cell r="BA144">
            <v>14.2</v>
          </cell>
          <cell r="BB144">
            <v>18.899999999999999</v>
          </cell>
          <cell r="BC144">
            <v>20.9</v>
          </cell>
          <cell r="BD144">
            <v>12.9</v>
          </cell>
          <cell r="BE144">
            <v>1</v>
          </cell>
          <cell r="BF144">
            <v>1</v>
          </cell>
          <cell r="BG144">
            <v>3.8</v>
          </cell>
          <cell r="BH144">
            <v>9.8000000000000007</v>
          </cell>
          <cell r="BI144">
            <v>26.700000000000003</v>
          </cell>
          <cell r="BJ144">
            <v>57.8</v>
          </cell>
          <cell r="BK144">
            <v>0</v>
          </cell>
          <cell r="BL144">
            <v>0</v>
          </cell>
          <cell r="BM144">
            <v>0</v>
          </cell>
          <cell r="BN144">
            <v>2.5</v>
          </cell>
          <cell r="BO144">
            <v>60.6</v>
          </cell>
          <cell r="BP144">
            <v>36.9</v>
          </cell>
          <cell r="BQ144">
            <v>0.3</v>
          </cell>
          <cell r="BR144">
            <v>0.3</v>
          </cell>
          <cell r="BS144">
            <v>1</v>
          </cell>
          <cell r="BT144">
            <v>16.900000000000002</v>
          </cell>
          <cell r="BU144">
            <v>55.900000000000006</v>
          </cell>
          <cell r="BV144">
            <v>25.6</v>
          </cell>
          <cell r="BW144">
            <v>0</v>
          </cell>
          <cell r="BX144">
            <v>0</v>
          </cell>
          <cell r="BY144">
            <v>0</v>
          </cell>
          <cell r="BZ144">
            <v>0.2</v>
          </cell>
          <cell r="CA144">
            <v>1</v>
          </cell>
          <cell r="CB144">
            <v>98.8</v>
          </cell>
          <cell r="CC144">
            <v>9.6</v>
          </cell>
          <cell r="CD144">
            <v>11.3</v>
          </cell>
          <cell r="CE144">
            <v>0.3</v>
          </cell>
          <cell r="CF144">
            <v>0.4</v>
          </cell>
          <cell r="CG144">
            <v>0</v>
          </cell>
          <cell r="CH144">
            <v>17</v>
          </cell>
          <cell r="CI144">
            <v>10.299999999999999</v>
          </cell>
          <cell r="CJ144">
            <v>68.400000000000006</v>
          </cell>
          <cell r="CK144">
            <v>41.6</v>
          </cell>
          <cell r="CL144">
            <v>6.7</v>
          </cell>
          <cell r="CM144">
            <v>0.89999999999999991</v>
          </cell>
          <cell r="CN144">
            <v>1</v>
          </cell>
          <cell r="CO144">
            <v>57.3</v>
          </cell>
          <cell r="CP144">
            <v>30.2</v>
          </cell>
          <cell r="CQ144">
            <v>25.7</v>
          </cell>
          <cell r="CR144">
            <v>10.9</v>
          </cell>
          <cell r="CS144">
            <v>33.200000000000003</v>
          </cell>
          <cell r="CT144">
            <v>18.2</v>
          </cell>
          <cell r="CU144">
            <v>81.8</v>
          </cell>
          <cell r="CV144">
            <v>23.9</v>
          </cell>
          <cell r="CW144">
            <v>76.099999999999994</v>
          </cell>
          <cell r="CX144">
            <v>18.600000000000001</v>
          </cell>
          <cell r="CY144">
            <v>19.600000000000001</v>
          </cell>
          <cell r="CZ144">
            <v>61.8</v>
          </cell>
          <cell r="DA144">
            <v>22.7</v>
          </cell>
          <cell r="DB144">
            <v>0.6</v>
          </cell>
          <cell r="DC144">
            <v>5.5</v>
          </cell>
          <cell r="DD144">
            <v>0</v>
          </cell>
          <cell r="DE144">
            <v>74.8</v>
          </cell>
          <cell r="DF144">
            <v>16.2</v>
          </cell>
          <cell r="DG144">
            <v>5.8000000000000007</v>
          </cell>
          <cell r="DH144">
            <v>17.100000000000001</v>
          </cell>
          <cell r="DI144">
            <v>14.2</v>
          </cell>
          <cell r="DJ144">
            <v>21.099999999999998</v>
          </cell>
          <cell r="DK144">
            <v>25.6</v>
          </cell>
          <cell r="DL144">
            <v>17.8</v>
          </cell>
          <cell r="DM144">
            <v>44.6</v>
          </cell>
          <cell r="DN144">
            <v>6.2</v>
          </cell>
          <cell r="DO144">
            <v>22.6</v>
          </cell>
          <cell r="DP144">
            <v>17.7</v>
          </cell>
          <cell r="DQ144">
            <v>4</v>
          </cell>
          <cell r="DR144">
            <v>5.0999999999999996</v>
          </cell>
          <cell r="DS144">
            <v>21.9</v>
          </cell>
          <cell r="DT144">
            <v>23.400000000000002</v>
          </cell>
          <cell r="DU144" t="str">
            <v>nd</v>
          </cell>
          <cell r="DV144" t="str">
            <v>nd</v>
          </cell>
          <cell r="DW144">
            <v>0</v>
          </cell>
          <cell r="DX144" t="str">
            <v>nd</v>
          </cell>
          <cell r="DY144" t="str">
            <v>nd</v>
          </cell>
          <cell r="DZ144">
            <v>0.93579999999999997</v>
          </cell>
          <cell r="EA144">
            <v>1.2095699999999998</v>
          </cell>
          <cell r="EB144">
            <v>1.8543700000000001</v>
          </cell>
          <cell r="EC144">
            <v>2.84782</v>
          </cell>
          <cell r="ED144">
            <v>1.1935</v>
          </cell>
          <cell r="EE144">
            <v>0.32886399999999999</v>
          </cell>
          <cell r="EF144">
            <v>9.7615470999999996</v>
          </cell>
          <cell r="EG144">
            <v>11.1594488</v>
          </cell>
          <cell r="EH144">
            <v>4.57958</v>
          </cell>
          <cell r="EI144">
            <v>9.8012392000000013</v>
          </cell>
          <cell r="EJ144">
            <v>5.2699000000000007</v>
          </cell>
          <cell r="EK144">
            <v>2.1120799999999997</v>
          </cell>
          <cell r="EL144">
            <v>20.271844600000001</v>
          </cell>
          <cell r="EM144">
            <v>4.5230899999999998</v>
          </cell>
          <cell r="EN144">
            <v>3.7652299999999999</v>
          </cell>
          <cell r="EO144">
            <v>5.8886399999999997</v>
          </cell>
          <cell r="EP144">
            <v>2.6654899999999997</v>
          </cell>
          <cell r="EQ144">
            <v>2.9544199999999998</v>
          </cell>
          <cell r="ER144">
            <v>3.7306199999999996</v>
          </cell>
          <cell r="ES144">
            <v>2.9490400000000001</v>
          </cell>
          <cell r="ET144">
            <v>0.312504</v>
          </cell>
          <cell r="EU144">
            <v>0.42224999999999996</v>
          </cell>
          <cell r="EV144">
            <v>0.54252</v>
          </cell>
          <cell r="EW144">
            <v>0.59021899999999994</v>
          </cell>
          <cell r="EX144">
            <v>0.153229</v>
          </cell>
          <cell r="EY144" t="str">
            <v>nd</v>
          </cell>
          <cell r="EZ144">
            <v>0</v>
          </cell>
          <cell r="FA144">
            <v>0</v>
          </cell>
          <cell r="FB144" t="str">
            <v>nd</v>
          </cell>
          <cell r="FC144">
            <v>0.68900899999999998</v>
          </cell>
          <cell r="FD144">
            <v>2.6977899999999999</v>
          </cell>
          <cell r="FE144">
            <v>1.2656499999999999</v>
          </cell>
          <cell r="FF144">
            <v>1.7489999999999999</v>
          </cell>
          <cell r="FG144">
            <v>1.3713299999999999</v>
          </cell>
          <cell r="FH144">
            <v>0.83331</v>
          </cell>
          <cell r="FI144">
            <v>5.7283800000000005</v>
          </cell>
          <cell r="FJ144">
            <v>10.824676799999999</v>
          </cell>
          <cell r="FK144">
            <v>7.4919516000000002</v>
          </cell>
          <cell r="FL144">
            <v>8.2517487999999997</v>
          </cell>
          <cell r="FM144">
            <v>6.9045818999999993</v>
          </cell>
          <cell r="FN144">
            <v>3.0572900000000001</v>
          </cell>
          <cell r="FO144">
            <v>5.9713099999999999</v>
          </cell>
          <cell r="FP144">
            <v>5.2884200000000003</v>
          </cell>
          <cell r="FQ144">
            <v>4.6131500000000001</v>
          </cell>
          <cell r="FR144">
            <v>6.5054417999999998</v>
          </cell>
          <cell r="FS144">
            <v>9.9901993999999998</v>
          </cell>
          <cell r="FT144">
            <v>7.9125525000000003</v>
          </cell>
          <cell r="FU144">
            <v>0.66019099999999997</v>
          </cell>
          <cell r="FV144">
            <v>1.0760799999999999</v>
          </cell>
          <cell r="FW144">
            <v>0.83028000000000013</v>
          </cell>
          <cell r="FX144">
            <v>2.39683</v>
          </cell>
          <cell r="FY144">
            <v>2.5486800000000001</v>
          </cell>
          <cell r="FZ144">
            <v>0.98093999999999992</v>
          </cell>
          <cell r="GA144" t="str">
            <v>nd</v>
          </cell>
          <cell r="GB144" t="str">
            <v>nd</v>
          </cell>
          <cell r="GC144">
            <v>0</v>
          </cell>
          <cell r="GD144">
            <v>0</v>
          </cell>
          <cell r="GE144" t="str">
            <v>nd</v>
          </cell>
          <cell r="GF144">
            <v>0.10407000000000001</v>
          </cell>
          <cell r="GG144">
            <v>0.66955799999999999</v>
          </cell>
          <cell r="GH144">
            <v>1.5208599999999999</v>
          </cell>
          <cell r="GI144">
            <v>1.9781</v>
          </cell>
          <cell r="GJ144">
            <v>2.4375</v>
          </cell>
          <cell r="GK144">
            <v>1.9143400000000002</v>
          </cell>
          <cell r="GL144" t="str">
            <v>nd</v>
          </cell>
          <cell r="GM144">
            <v>0.26323399999999997</v>
          </cell>
          <cell r="GN144">
            <v>2.1328799999999997</v>
          </cell>
          <cell r="GO144">
            <v>6.6840697000000002</v>
          </cell>
          <cell r="GP144">
            <v>14.454372300000001</v>
          </cell>
          <cell r="GQ144">
            <v>18.834218700000001</v>
          </cell>
          <cell r="GR144">
            <v>0.45748699999999998</v>
          </cell>
          <cell r="GS144" t="str">
            <v>nd</v>
          </cell>
          <cell r="GT144" t="str">
            <v>nd</v>
          </cell>
          <cell r="GU144">
            <v>0.81968000000000008</v>
          </cell>
          <cell r="GV144">
            <v>7.4130723999999999</v>
          </cell>
          <cell r="GW144">
            <v>31.128442899999996</v>
          </cell>
          <cell r="GX144">
            <v>0</v>
          </cell>
          <cell r="GY144">
            <v>0</v>
          </cell>
          <cell r="GZ144" t="str">
            <v>nd</v>
          </cell>
          <cell r="HA144">
            <v>0.32167600000000002</v>
          </cell>
          <cell r="HB144">
            <v>2.4178600000000001</v>
          </cell>
          <cell r="HC144">
            <v>5.7116199999999999</v>
          </cell>
          <cell r="HD144">
            <v>0</v>
          </cell>
          <cell r="HE144">
            <v>0.19490499999999999</v>
          </cell>
          <cell r="HF144">
            <v>0</v>
          </cell>
          <cell r="HG144">
            <v>0</v>
          </cell>
          <cell r="HH144" t="str">
            <v>nd</v>
          </cell>
          <cell r="HI144">
            <v>0</v>
          </cell>
          <cell r="HJ144">
            <v>0</v>
          </cell>
          <cell r="HK144">
            <v>0</v>
          </cell>
          <cell r="HL144">
            <v>0.35212699999999997</v>
          </cell>
          <cell r="HM144">
            <v>4.98508</v>
          </cell>
          <cell r="HN144">
            <v>2.7532700000000001</v>
          </cell>
          <cell r="HO144">
            <v>0</v>
          </cell>
          <cell r="HP144">
            <v>0</v>
          </cell>
          <cell r="HQ144">
            <v>0</v>
          </cell>
          <cell r="HR144">
            <v>1.04434</v>
          </cell>
          <cell r="HS144">
            <v>29.932712299999999</v>
          </cell>
          <cell r="HT144">
            <v>12.2077554</v>
          </cell>
          <cell r="HU144">
            <v>0</v>
          </cell>
          <cell r="HV144">
            <v>0</v>
          </cell>
          <cell r="HW144">
            <v>0</v>
          </cell>
          <cell r="HX144">
            <v>1.03644</v>
          </cell>
          <cell r="HY144">
            <v>20.6160937</v>
          </cell>
          <cell r="HZ144">
            <v>18.177188300000001</v>
          </cell>
          <cell r="IA144">
            <v>0</v>
          </cell>
          <cell r="IB144">
            <v>0</v>
          </cell>
          <cell r="IC144">
            <v>0</v>
          </cell>
          <cell r="ID144" t="str">
            <v>nd</v>
          </cell>
          <cell r="IE144">
            <v>5.0434800000000006</v>
          </cell>
          <cell r="IF144">
            <v>3.4730600000000003</v>
          </cell>
          <cell r="IG144">
            <v>0</v>
          </cell>
          <cell r="IH144" t="str">
            <v>nd</v>
          </cell>
          <cell r="II144" t="str">
            <v>nd</v>
          </cell>
          <cell r="IJ144">
            <v>0</v>
          </cell>
          <cell r="IK144" t="str">
            <v>nd</v>
          </cell>
          <cell r="IL144" t="str">
            <v>nd</v>
          </cell>
          <cell r="IM144" t="str">
            <v>nd</v>
          </cell>
          <cell r="IN144">
            <v>0.29265099999999999</v>
          </cell>
          <cell r="IO144">
            <v>2.4909699999999999</v>
          </cell>
          <cell r="IP144">
            <v>3.5441000000000003</v>
          </cell>
          <cell r="IQ144">
            <v>1.7969599999999999</v>
          </cell>
          <cell r="IR144" t="str">
            <v>nd</v>
          </cell>
          <cell r="IS144" t="str">
            <v>nd</v>
          </cell>
          <cell r="IT144">
            <v>0.25753400000000004</v>
          </cell>
          <cell r="IU144">
            <v>7.8944453999999995</v>
          </cell>
          <cell r="IV144">
            <v>27.194767600000002</v>
          </cell>
          <cell r="IW144">
            <v>7.0952351</v>
          </cell>
          <cell r="IX144">
            <v>0</v>
          </cell>
          <cell r="IY144" t="str">
            <v>nd</v>
          </cell>
          <cell r="IZ144">
            <v>0.31949499999999997</v>
          </cell>
          <cell r="JA144">
            <v>5.5765599999999997</v>
          </cell>
          <cell r="JB144">
            <v>19.901586700000003</v>
          </cell>
          <cell r="JC144">
            <v>14.180858099999998</v>
          </cell>
          <cell r="JD144">
            <v>0</v>
          </cell>
          <cell r="JE144" t="str">
            <v>nd</v>
          </cell>
          <cell r="JF144">
            <v>0</v>
          </cell>
          <cell r="JG144">
            <v>0.93393000000000004</v>
          </cell>
          <cell r="JH144">
            <v>4.9843400000000004</v>
          </cell>
          <cell r="JI144">
            <v>2.5828799999999998</v>
          </cell>
          <cell r="JJ144">
            <v>0</v>
          </cell>
          <cell r="JK144">
            <v>0</v>
          </cell>
          <cell r="JL144">
            <v>0</v>
          </cell>
          <cell r="JM144">
            <v>0</v>
          </cell>
          <cell r="JN144">
            <v>0.34500799999999998</v>
          </cell>
          <cell r="JO144">
            <v>0</v>
          </cell>
          <cell r="JP144">
            <v>0</v>
          </cell>
          <cell r="JQ144">
            <v>0</v>
          </cell>
          <cell r="JR144">
            <v>0</v>
          </cell>
          <cell r="JS144" t="str">
            <v>nd</v>
          </cell>
          <cell r="JT144">
            <v>8.2986234999999997</v>
          </cell>
          <cell r="JU144">
            <v>0</v>
          </cell>
          <cell r="JV144">
            <v>0</v>
          </cell>
          <cell r="JW144">
            <v>0</v>
          </cell>
          <cell r="JX144" t="str">
            <v>nd</v>
          </cell>
          <cell r="JY144">
            <v>0.595611</v>
          </cell>
          <cell r="JZ144">
            <v>42.755803</v>
          </cell>
          <cell r="KA144">
            <v>0</v>
          </cell>
          <cell r="KB144">
            <v>0</v>
          </cell>
          <cell r="KC144">
            <v>0</v>
          </cell>
          <cell r="KD144" t="str">
            <v>nd</v>
          </cell>
          <cell r="KE144" t="str">
            <v>nd</v>
          </cell>
          <cell r="KF144">
            <v>39.045313</v>
          </cell>
          <cell r="KG144">
            <v>0</v>
          </cell>
          <cell r="KH144">
            <v>0</v>
          </cell>
          <cell r="KI144">
            <v>0</v>
          </cell>
          <cell r="KJ144">
            <v>0</v>
          </cell>
          <cell r="KK144" t="str">
            <v>nd</v>
          </cell>
          <cell r="KL144">
            <v>8.3407298000000001</v>
          </cell>
          <cell r="KM144">
            <v>49.7</v>
          </cell>
          <cell r="KN144">
            <v>34.200000000000003</v>
          </cell>
          <cell r="KO144">
            <v>5.6000000000000005</v>
          </cell>
          <cell r="KP144">
            <v>3.6999999999999997</v>
          </cell>
          <cell r="KQ144">
            <v>6.6000000000000005</v>
          </cell>
          <cell r="KR144">
            <v>0.2</v>
          </cell>
          <cell r="KS144">
            <v>49.5</v>
          </cell>
          <cell r="KT144">
            <v>33.4</v>
          </cell>
          <cell r="KU144">
            <v>5.8000000000000007</v>
          </cell>
          <cell r="KV144">
            <v>3.6999999999999997</v>
          </cell>
          <cell r="KW144">
            <v>7.3999999999999995</v>
          </cell>
          <cell r="KX144">
            <v>0.2</v>
          </cell>
          <cell r="KY144"/>
          <cell r="KZ144"/>
          <cell r="LA144"/>
          <cell r="LB144"/>
          <cell r="LC144"/>
          <cell r="LD144"/>
          <cell r="LE144"/>
          <cell r="LF144"/>
          <cell r="LG144"/>
          <cell r="LH144"/>
          <cell r="LI144"/>
          <cell r="LJ144"/>
          <cell r="LK144"/>
          <cell r="LL144"/>
          <cell r="LM144"/>
          <cell r="LN144"/>
          <cell r="LO144"/>
        </row>
        <row r="145">
          <cell r="A145" t="str">
            <v>EnsMB</v>
          </cell>
          <cell r="B145" t="str">
            <v>145</v>
          </cell>
          <cell r="C145" t="str">
            <v>NAF 38</v>
          </cell>
          <cell r="D145" t="str">
            <v>MB</v>
          </cell>
          <cell r="E145" t="str">
            <v/>
          </cell>
          <cell r="F145">
            <v>0</v>
          </cell>
          <cell r="G145">
            <v>4.5</v>
          </cell>
          <cell r="H145">
            <v>28.199999999999996</v>
          </cell>
          <cell r="I145">
            <v>36.199999999999996</v>
          </cell>
          <cell r="J145">
            <v>31.1</v>
          </cell>
          <cell r="K145">
            <v>44.800000000000004</v>
          </cell>
          <cell r="L145">
            <v>11.700000000000001</v>
          </cell>
          <cell r="M145" t="str">
            <v>nd</v>
          </cell>
          <cell r="N145">
            <v>40.1</v>
          </cell>
          <cell r="O145">
            <v>47.8</v>
          </cell>
          <cell r="P145">
            <v>28.799999999999997</v>
          </cell>
          <cell r="Q145">
            <v>12.1</v>
          </cell>
          <cell r="R145">
            <v>7.7</v>
          </cell>
          <cell r="S145">
            <v>36.799999999999997</v>
          </cell>
          <cell r="T145">
            <v>17.7</v>
          </cell>
          <cell r="U145">
            <v>7.1</v>
          </cell>
          <cell r="V145">
            <v>20.9</v>
          </cell>
          <cell r="W145">
            <v>6</v>
          </cell>
          <cell r="X145">
            <v>93.100000000000009</v>
          </cell>
          <cell r="Y145" t="str">
            <v>nd</v>
          </cell>
          <cell r="Z145">
            <v>0</v>
          </cell>
          <cell r="AA145" t="str">
            <v>nd</v>
          </cell>
          <cell r="AB145" t="str">
            <v>nd</v>
          </cell>
          <cell r="AC145">
            <v>80</v>
          </cell>
          <cell r="AD145" t="str">
            <v>nd</v>
          </cell>
          <cell r="AE145">
            <v>33.900000000000006</v>
          </cell>
          <cell r="AF145">
            <v>66.100000000000009</v>
          </cell>
          <cell r="AG145">
            <v>75.3</v>
          </cell>
          <cell r="AH145">
            <v>24.7</v>
          </cell>
          <cell r="AI145">
            <v>28.9</v>
          </cell>
          <cell r="AJ145">
            <v>7.5</v>
          </cell>
          <cell r="AK145" t="str">
            <v>nd</v>
          </cell>
          <cell r="AL145">
            <v>41.9</v>
          </cell>
          <cell r="AM145">
            <v>17.8</v>
          </cell>
          <cell r="AN145">
            <v>6</v>
          </cell>
          <cell r="AO145" t="str">
            <v>nd</v>
          </cell>
          <cell r="AP145">
            <v>0</v>
          </cell>
          <cell r="AQ145">
            <v>81.699999999999989</v>
          </cell>
          <cell r="AR145" t="str">
            <v>nd</v>
          </cell>
          <cell r="AS145">
            <v>16.900000000000002</v>
          </cell>
          <cell r="AT145">
            <v>44.4</v>
          </cell>
          <cell r="AU145">
            <v>17.899999999999999</v>
          </cell>
          <cell r="AV145">
            <v>10.100000000000001</v>
          </cell>
          <cell r="AW145">
            <v>3.4000000000000004</v>
          </cell>
          <cell r="AX145">
            <v>7.3999999999999995</v>
          </cell>
          <cell r="AY145">
            <v>9.6</v>
          </cell>
          <cell r="AZ145">
            <v>19</v>
          </cell>
          <cell r="BA145">
            <v>18.600000000000001</v>
          </cell>
          <cell r="BB145">
            <v>44.800000000000004</v>
          </cell>
          <cell r="BC145">
            <v>4.8</v>
          </cell>
          <cell r="BD145">
            <v>3.3000000000000003</v>
          </cell>
          <cell r="BE145">
            <v>0</v>
          </cell>
          <cell r="BF145">
            <v>2.1999999999999997</v>
          </cell>
          <cell r="BG145">
            <v>0</v>
          </cell>
          <cell r="BH145" t="str">
            <v>nd</v>
          </cell>
          <cell r="BI145">
            <v>17.2</v>
          </cell>
          <cell r="BJ145">
            <v>79.100000000000009</v>
          </cell>
          <cell r="BK145">
            <v>0</v>
          </cell>
          <cell r="BL145">
            <v>0</v>
          </cell>
          <cell r="BM145">
            <v>0</v>
          </cell>
          <cell r="BN145">
            <v>0</v>
          </cell>
          <cell r="BO145">
            <v>85.6</v>
          </cell>
          <cell r="BP145">
            <v>14.399999999999999</v>
          </cell>
          <cell r="BQ145" t="str">
            <v>nd</v>
          </cell>
          <cell r="BR145">
            <v>0</v>
          </cell>
          <cell r="BS145">
            <v>4.1000000000000005</v>
          </cell>
          <cell r="BT145">
            <v>11.899999999999999</v>
          </cell>
          <cell r="BU145">
            <v>74.5</v>
          </cell>
          <cell r="BV145">
            <v>8.2000000000000011</v>
          </cell>
          <cell r="BW145">
            <v>0</v>
          </cell>
          <cell r="BX145">
            <v>0</v>
          </cell>
          <cell r="BY145">
            <v>0</v>
          </cell>
          <cell r="BZ145">
            <v>0</v>
          </cell>
          <cell r="CA145" t="str">
            <v>nd</v>
          </cell>
          <cell r="CB145">
            <v>99.4</v>
          </cell>
          <cell r="CC145">
            <v>7.8</v>
          </cell>
          <cell r="CD145">
            <v>39</v>
          </cell>
          <cell r="CE145">
            <v>0</v>
          </cell>
          <cell r="CF145" t="str">
            <v>nd</v>
          </cell>
          <cell r="CG145" t="str">
            <v>nd</v>
          </cell>
          <cell r="CH145">
            <v>11.5</v>
          </cell>
          <cell r="CI145">
            <v>11.4</v>
          </cell>
          <cell r="CJ145">
            <v>45.7</v>
          </cell>
          <cell r="CK145">
            <v>58.3</v>
          </cell>
          <cell r="CL145">
            <v>5.7</v>
          </cell>
          <cell r="CM145" t="str">
            <v>nd</v>
          </cell>
          <cell r="CN145" t="str">
            <v>nd</v>
          </cell>
          <cell r="CO145">
            <v>38.9</v>
          </cell>
          <cell r="CP145">
            <v>19.3</v>
          </cell>
          <cell r="CQ145">
            <v>23.1</v>
          </cell>
          <cell r="CR145">
            <v>33.1</v>
          </cell>
          <cell r="CS145">
            <v>24.5</v>
          </cell>
          <cell r="CT145">
            <v>64.2</v>
          </cell>
          <cell r="CU145">
            <v>35.799999999999997</v>
          </cell>
          <cell r="CV145">
            <v>34.699999999999996</v>
          </cell>
          <cell r="CW145">
            <v>65.3</v>
          </cell>
          <cell r="CX145">
            <v>3.8</v>
          </cell>
          <cell r="CY145">
            <v>14.6</v>
          </cell>
          <cell r="CZ145">
            <v>81.599999999999994</v>
          </cell>
          <cell r="DA145">
            <v>57.9</v>
          </cell>
          <cell r="DB145" t="str">
            <v>nd</v>
          </cell>
          <cell r="DC145">
            <v>0</v>
          </cell>
          <cell r="DD145">
            <v>0</v>
          </cell>
          <cell r="DE145">
            <v>52.6</v>
          </cell>
          <cell r="DF145">
            <v>15.1</v>
          </cell>
          <cell r="DG145">
            <v>42.5</v>
          </cell>
          <cell r="DH145">
            <v>9.1999999999999993</v>
          </cell>
          <cell r="DI145">
            <v>6.7</v>
          </cell>
          <cell r="DJ145">
            <v>10.4</v>
          </cell>
          <cell r="DK145">
            <v>16.2</v>
          </cell>
          <cell r="DL145">
            <v>7.0000000000000009</v>
          </cell>
          <cell r="DM145">
            <v>23.799999999999997</v>
          </cell>
          <cell r="DN145">
            <v>4.3</v>
          </cell>
          <cell r="DO145">
            <v>52.5</v>
          </cell>
          <cell r="DP145">
            <v>41.8</v>
          </cell>
          <cell r="DQ145">
            <v>38.1</v>
          </cell>
          <cell r="DR145">
            <v>9.3000000000000007</v>
          </cell>
          <cell r="DS145">
            <v>27.1</v>
          </cell>
          <cell r="DT145">
            <v>7.1</v>
          </cell>
          <cell r="DU145">
            <v>0</v>
          </cell>
          <cell r="DV145">
            <v>0</v>
          </cell>
          <cell r="DW145">
            <v>0</v>
          </cell>
          <cell r="DX145">
            <v>0</v>
          </cell>
          <cell r="DY145">
            <v>0</v>
          </cell>
          <cell r="DZ145" t="str">
            <v>nd</v>
          </cell>
          <cell r="EA145" t="str">
            <v>nd</v>
          </cell>
          <cell r="EB145">
            <v>0</v>
          </cell>
          <cell r="EC145">
            <v>2.5371000000000001</v>
          </cell>
          <cell r="ED145" t="str">
            <v>nd</v>
          </cell>
          <cell r="EE145">
            <v>0</v>
          </cell>
          <cell r="EF145">
            <v>3.1451800000000003</v>
          </cell>
          <cell r="EG145">
            <v>4.9459500000000007</v>
          </cell>
          <cell r="EH145">
            <v>12.728334</v>
          </cell>
          <cell r="EI145">
            <v>6.21774</v>
          </cell>
          <cell r="EJ145">
            <v>1.4721599999999999</v>
          </cell>
          <cell r="EK145">
            <v>0</v>
          </cell>
          <cell r="EL145">
            <v>10.552834299999999</v>
          </cell>
          <cell r="EM145">
            <v>10.230422300000001</v>
          </cell>
          <cell r="EN145">
            <v>4.8025199999999995</v>
          </cell>
          <cell r="EO145" t="str">
            <v>nd</v>
          </cell>
          <cell r="EP145">
            <v>1.3729500000000001</v>
          </cell>
          <cell r="EQ145">
            <v>7.4102219999999992</v>
          </cell>
          <cell r="ER145" t="str">
            <v>nd</v>
          </cell>
          <cell r="ES145" t="str">
            <v>nd</v>
          </cell>
          <cell r="ET145" t="str">
            <v>nd</v>
          </cell>
          <cell r="EU145">
            <v>0</v>
          </cell>
          <cell r="EV145">
            <v>0</v>
          </cell>
          <cell r="EW145">
            <v>0</v>
          </cell>
          <cell r="EX145">
            <v>0</v>
          </cell>
          <cell r="EY145">
            <v>0</v>
          </cell>
          <cell r="EZ145">
            <v>0</v>
          </cell>
          <cell r="FA145">
            <v>0</v>
          </cell>
          <cell r="FB145">
            <v>0</v>
          </cell>
          <cell r="FC145">
            <v>0</v>
          </cell>
          <cell r="FD145">
            <v>0</v>
          </cell>
          <cell r="FE145" t="str">
            <v>nd</v>
          </cell>
          <cell r="FF145">
            <v>3.1720999999999999</v>
          </cell>
          <cell r="FG145">
            <v>0</v>
          </cell>
          <cell r="FH145">
            <v>0</v>
          </cell>
          <cell r="FI145">
            <v>4.4174800000000003</v>
          </cell>
          <cell r="FJ145">
            <v>10.284288699999999</v>
          </cell>
          <cell r="FK145">
            <v>8.8345824000000004</v>
          </cell>
          <cell r="FL145">
            <v>2.72967</v>
          </cell>
          <cell r="FM145">
            <v>1.6502200000000002</v>
          </cell>
          <cell r="FN145" t="str">
            <v>nd</v>
          </cell>
          <cell r="FO145">
            <v>3.62052</v>
          </cell>
          <cell r="FP145">
            <v>8.3152920000000012</v>
          </cell>
          <cell r="FQ145">
            <v>8.3352597999999993</v>
          </cell>
          <cell r="FR145">
            <v>9.5825961999999993</v>
          </cell>
          <cell r="FS145">
            <v>3.1127599999999997</v>
          </cell>
          <cell r="FT145">
            <v>2.7021600000000001</v>
          </cell>
          <cell r="FU145" t="str">
            <v>nd</v>
          </cell>
          <cell r="FV145" t="str">
            <v>nd</v>
          </cell>
          <cell r="FW145">
            <v>0</v>
          </cell>
          <cell r="FX145">
            <v>29.294490699999997</v>
          </cell>
          <cell r="FY145">
            <v>0</v>
          </cell>
          <cell r="FZ145">
            <v>0</v>
          </cell>
          <cell r="GA145">
            <v>0</v>
          </cell>
          <cell r="GB145">
            <v>0</v>
          </cell>
          <cell r="GC145">
            <v>0</v>
          </cell>
          <cell r="GD145">
            <v>0</v>
          </cell>
          <cell r="GE145">
            <v>0</v>
          </cell>
          <cell r="GF145">
            <v>0</v>
          </cell>
          <cell r="GG145">
            <v>2.2312499999999997</v>
          </cell>
          <cell r="GH145">
            <v>0</v>
          </cell>
          <cell r="GI145">
            <v>0</v>
          </cell>
          <cell r="GJ145">
            <v>1.9923799999999998</v>
          </cell>
          <cell r="GK145" t="str">
            <v>nd</v>
          </cell>
          <cell r="GL145">
            <v>0</v>
          </cell>
          <cell r="GM145">
            <v>0</v>
          </cell>
          <cell r="GN145">
            <v>0</v>
          </cell>
          <cell r="GO145" t="str">
            <v>nd</v>
          </cell>
          <cell r="GP145">
            <v>8.4860012999999999</v>
          </cell>
          <cell r="GQ145">
            <v>16.374379900000001</v>
          </cell>
          <cell r="GR145">
            <v>0</v>
          </cell>
          <cell r="GS145">
            <v>0</v>
          </cell>
          <cell r="GT145">
            <v>0</v>
          </cell>
          <cell r="GU145">
            <v>0</v>
          </cell>
          <cell r="GV145">
            <v>6.7049981999999995</v>
          </cell>
          <cell r="GW145">
            <v>29.323877399999997</v>
          </cell>
          <cell r="GX145">
            <v>0</v>
          </cell>
          <cell r="GY145">
            <v>0</v>
          </cell>
          <cell r="GZ145">
            <v>0</v>
          </cell>
          <cell r="HA145">
            <v>0</v>
          </cell>
          <cell r="HB145">
            <v>0</v>
          </cell>
          <cell r="HC145">
            <v>32.951997399999996</v>
          </cell>
          <cell r="HD145">
            <v>0</v>
          </cell>
          <cell r="HE145">
            <v>0</v>
          </cell>
          <cell r="HF145">
            <v>0</v>
          </cell>
          <cell r="HG145">
            <v>0</v>
          </cell>
          <cell r="HH145">
            <v>0</v>
          </cell>
          <cell r="HI145">
            <v>0</v>
          </cell>
          <cell r="HJ145">
            <v>0</v>
          </cell>
          <cell r="HK145">
            <v>0</v>
          </cell>
          <cell r="HL145">
            <v>0</v>
          </cell>
          <cell r="HM145">
            <v>3.6374900000000001</v>
          </cell>
          <cell r="HN145" t="str">
            <v>nd</v>
          </cell>
          <cell r="HO145">
            <v>0</v>
          </cell>
          <cell r="HP145">
            <v>0</v>
          </cell>
          <cell r="HQ145">
            <v>0</v>
          </cell>
          <cell r="HR145">
            <v>0</v>
          </cell>
          <cell r="HS145">
            <v>20.6749312</v>
          </cell>
          <cell r="HT145">
            <v>5.3825900000000004</v>
          </cell>
          <cell r="HU145">
            <v>0</v>
          </cell>
          <cell r="HV145">
            <v>0</v>
          </cell>
          <cell r="HW145">
            <v>0</v>
          </cell>
          <cell r="HX145">
            <v>0</v>
          </cell>
          <cell r="HY145">
            <v>31.030375999999997</v>
          </cell>
          <cell r="HZ145">
            <v>5.8421899999999996</v>
          </cell>
          <cell r="IA145">
            <v>0</v>
          </cell>
          <cell r="IB145">
            <v>0</v>
          </cell>
          <cell r="IC145">
            <v>0</v>
          </cell>
          <cell r="ID145">
            <v>0</v>
          </cell>
          <cell r="IE145" t="str">
            <v>nd</v>
          </cell>
          <cell r="IF145">
            <v>2.50726</v>
          </cell>
          <cell r="IG145">
            <v>0</v>
          </cell>
          <cell r="IH145">
            <v>0</v>
          </cell>
          <cell r="II145">
            <v>0</v>
          </cell>
          <cell r="IJ145">
            <v>0</v>
          </cell>
          <cell r="IK145">
            <v>0</v>
          </cell>
          <cell r="IL145">
            <v>0</v>
          </cell>
          <cell r="IM145">
            <v>0</v>
          </cell>
          <cell r="IN145">
            <v>0</v>
          </cell>
          <cell r="IO145" t="str">
            <v>nd</v>
          </cell>
          <cell r="IP145">
            <v>3.1362700000000001</v>
          </cell>
          <cell r="IQ145" t="str">
            <v>nd</v>
          </cell>
          <cell r="IR145">
            <v>0</v>
          </cell>
          <cell r="IS145">
            <v>0</v>
          </cell>
          <cell r="IT145" t="str">
            <v>nd</v>
          </cell>
          <cell r="IU145">
            <v>5.7845500000000003</v>
          </cell>
          <cell r="IV145">
            <v>18.1197315</v>
          </cell>
          <cell r="IW145" t="str">
            <v>nd</v>
          </cell>
          <cell r="IX145" t="str">
            <v>nd</v>
          </cell>
          <cell r="IY145">
            <v>0</v>
          </cell>
          <cell r="IZ145" t="str">
            <v>nd</v>
          </cell>
          <cell r="JA145">
            <v>3.7719399999999998</v>
          </cell>
          <cell r="JB145">
            <v>24.287188</v>
          </cell>
          <cell r="JC145">
            <v>5.7840999999999996</v>
          </cell>
          <cell r="JD145">
            <v>0</v>
          </cell>
          <cell r="JE145">
            <v>0</v>
          </cell>
          <cell r="JF145">
            <v>0</v>
          </cell>
          <cell r="JG145" t="str">
            <v>nd</v>
          </cell>
          <cell r="JH145" t="str">
            <v>nd</v>
          </cell>
          <cell r="JI145" t="str">
            <v>nd</v>
          </cell>
          <cell r="JJ145">
            <v>0</v>
          </cell>
          <cell r="JK145">
            <v>0</v>
          </cell>
          <cell r="JL145">
            <v>0</v>
          </cell>
          <cell r="JM145">
            <v>0</v>
          </cell>
          <cell r="JN145">
            <v>0</v>
          </cell>
          <cell r="JO145">
            <v>0</v>
          </cell>
          <cell r="JP145">
            <v>0</v>
          </cell>
          <cell r="JQ145">
            <v>0</v>
          </cell>
          <cell r="JR145">
            <v>0</v>
          </cell>
          <cell r="JS145">
            <v>0</v>
          </cell>
          <cell r="JT145">
            <v>4.23081</v>
          </cell>
          <cell r="JU145">
            <v>0</v>
          </cell>
          <cell r="JV145">
            <v>0</v>
          </cell>
          <cell r="JW145">
            <v>0</v>
          </cell>
          <cell r="JX145">
            <v>0</v>
          </cell>
          <cell r="JY145">
            <v>0</v>
          </cell>
          <cell r="JZ145">
            <v>26.068310799999999</v>
          </cell>
          <cell r="KA145">
            <v>0</v>
          </cell>
          <cell r="KB145">
            <v>0</v>
          </cell>
          <cell r="KC145">
            <v>0</v>
          </cell>
          <cell r="KD145">
            <v>0</v>
          </cell>
          <cell r="KE145" t="str">
            <v>nd</v>
          </cell>
          <cell r="KF145">
            <v>36.282113100000004</v>
          </cell>
          <cell r="KG145">
            <v>0</v>
          </cell>
          <cell r="KH145">
            <v>0</v>
          </cell>
          <cell r="KI145">
            <v>0</v>
          </cell>
          <cell r="KJ145">
            <v>0</v>
          </cell>
          <cell r="KK145">
            <v>0</v>
          </cell>
          <cell r="KL145">
            <v>32.780753699999998</v>
          </cell>
          <cell r="KM145">
            <v>50.5</v>
          </cell>
          <cell r="KN145">
            <v>35.4</v>
          </cell>
          <cell r="KO145">
            <v>2.2999999999999998</v>
          </cell>
          <cell r="KP145">
            <v>4.3</v>
          </cell>
          <cell r="KQ145">
            <v>7.5</v>
          </cell>
          <cell r="KR145">
            <v>0</v>
          </cell>
          <cell r="KS145">
            <v>47.9</v>
          </cell>
          <cell r="KT145">
            <v>37.700000000000003</v>
          </cell>
          <cell r="KU145">
            <v>2.2999999999999998</v>
          </cell>
          <cell r="KV145">
            <v>4</v>
          </cell>
          <cell r="KW145">
            <v>8</v>
          </cell>
          <cell r="KX145">
            <v>0</v>
          </cell>
          <cell r="KY145"/>
          <cell r="KZ145"/>
          <cell r="LA145"/>
          <cell r="LB145"/>
          <cell r="LC145"/>
          <cell r="LD145"/>
          <cell r="LE145"/>
          <cell r="LF145"/>
          <cell r="LG145"/>
          <cell r="LH145"/>
          <cell r="LI145"/>
          <cell r="LJ145"/>
          <cell r="LK145"/>
          <cell r="LL145"/>
          <cell r="LM145"/>
          <cell r="LN145"/>
          <cell r="LO145"/>
        </row>
        <row r="146">
          <cell r="A146" t="str">
            <v>EnsMC</v>
          </cell>
          <cell r="B146" t="str">
            <v>146</v>
          </cell>
          <cell r="C146" t="str">
            <v>NAF 38</v>
          </cell>
          <cell r="D146" t="str">
            <v>MC</v>
          </cell>
          <cell r="E146" t="str">
            <v/>
          </cell>
          <cell r="F146">
            <v>3.1</v>
          </cell>
          <cell r="G146">
            <v>34.599999999999994</v>
          </cell>
          <cell r="H146">
            <v>34.9</v>
          </cell>
          <cell r="I146">
            <v>24.2</v>
          </cell>
          <cell r="J146">
            <v>3.3000000000000003</v>
          </cell>
          <cell r="K146">
            <v>86.5</v>
          </cell>
          <cell r="L146">
            <v>9.1999999999999993</v>
          </cell>
          <cell r="M146">
            <v>1.7000000000000002</v>
          </cell>
          <cell r="N146">
            <v>2.6</v>
          </cell>
          <cell r="O146">
            <v>56.599999999999994</v>
          </cell>
          <cell r="P146">
            <v>17.599999999999998</v>
          </cell>
          <cell r="Q146">
            <v>6.5</v>
          </cell>
          <cell r="R146">
            <v>10</v>
          </cell>
          <cell r="S146">
            <v>1.5</v>
          </cell>
          <cell r="T146">
            <v>39.4</v>
          </cell>
          <cell r="U146">
            <v>5.8000000000000007</v>
          </cell>
          <cell r="V146">
            <v>34.5</v>
          </cell>
          <cell r="W146">
            <v>16.7</v>
          </cell>
          <cell r="X146">
            <v>77.5</v>
          </cell>
          <cell r="Y146">
            <v>5.8000000000000007</v>
          </cell>
          <cell r="Z146">
            <v>15.6</v>
          </cell>
          <cell r="AA146">
            <v>35.9</v>
          </cell>
          <cell r="AB146">
            <v>29.299999999999997</v>
          </cell>
          <cell r="AC146">
            <v>35.299999999999997</v>
          </cell>
          <cell r="AD146">
            <v>22.8</v>
          </cell>
          <cell r="AE146">
            <v>48.5</v>
          </cell>
          <cell r="AF146">
            <v>51.5</v>
          </cell>
          <cell r="AG146">
            <v>43.7</v>
          </cell>
          <cell r="AH146">
            <v>56.3</v>
          </cell>
          <cell r="AI146">
            <v>61.199999999999996</v>
          </cell>
          <cell r="AJ146">
            <v>7.5</v>
          </cell>
          <cell r="AK146" t="str">
            <v>nd</v>
          </cell>
          <cell r="AL146">
            <v>20.100000000000001</v>
          </cell>
          <cell r="AM146">
            <v>9.3000000000000007</v>
          </cell>
          <cell r="AN146">
            <v>16.3</v>
          </cell>
          <cell r="AO146">
            <v>5.3</v>
          </cell>
          <cell r="AP146">
            <v>5.7</v>
          </cell>
          <cell r="AQ146">
            <v>55.7</v>
          </cell>
          <cell r="AR146">
            <v>16.900000000000002</v>
          </cell>
          <cell r="AS146">
            <v>38.299999999999997</v>
          </cell>
          <cell r="AT146">
            <v>7.1999999999999993</v>
          </cell>
          <cell r="AU146">
            <v>13.700000000000001</v>
          </cell>
          <cell r="AV146">
            <v>12.8</v>
          </cell>
          <cell r="AW146">
            <v>7.7</v>
          </cell>
          <cell r="AX146">
            <v>20.3</v>
          </cell>
          <cell r="AY146">
            <v>22.2</v>
          </cell>
          <cell r="AZ146">
            <v>11.200000000000001</v>
          </cell>
          <cell r="BA146">
            <v>14.399999999999999</v>
          </cell>
          <cell r="BB146">
            <v>8.1</v>
          </cell>
          <cell r="BC146">
            <v>28.799999999999997</v>
          </cell>
          <cell r="BD146">
            <v>15.299999999999999</v>
          </cell>
          <cell r="BE146" t="str">
            <v>nd</v>
          </cell>
          <cell r="BF146" t="str">
            <v>nd</v>
          </cell>
          <cell r="BG146">
            <v>8.3000000000000007</v>
          </cell>
          <cell r="BH146">
            <v>7.8</v>
          </cell>
          <cell r="BI146">
            <v>18.099999999999998</v>
          </cell>
          <cell r="BJ146">
            <v>63</v>
          </cell>
          <cell r="BK146">
            <v>0</v>
          </cell>
          <cell r="BL146">
            <v>0</v>
          </cell>
          <cell r="BM146">
            <v>0</v>
          </cell>
          <cell r="BN146">
            <v>2.2999999999999998</v>
          </cell>
          <cell r="BO146">
            <v>65.600000000000009</v>
          </cell>
          <cell r="BP146">
            <v>32.1</v>
          </cell>
          <cell r="BQ146" t="str">
            <v>nd</v>
          </cell>
          <cell r="BR146">
            <v>1.7999999999999998</v>
          </cell>
          <cell r="BS146">
            <v>3.9</v>
          </cell>
          <cell r="BT146">
            <v>13.900000000000002</v>
          </cell>
          <cell r="BU146">
            <v>58.099999999999994</v>
          </cell>
          <cell r="BV146">
            <v>20.7</v>
          </cell>
          <cell r="BW146">
            <v>0</v>
          </cell>
          <cell r="BX146">
            <v>0</v>
          </cell>
          <cell r="BY146">
            <v>0</v>
          </cell>
          <cell r="BZ146" t="str">
            <v>nd</v>
          </cell>
          <cell r="CA146" t="str">
            <v>nd</v>
          </cell>
          <cell r="CB146">
            <v>99.1</v>
          </cell>
          <cell r="CC146">
            <v>4.2</v>
          </cell>
          <cell r="CD146">
            <v>7.6</v>
          </cell>
          <cell r="CE146">
            <v>0</v>
          </cell>
          <cell r="CF146">
            <v>0</v>
          </cell>
          <cell r="CG146">
            <v>0</v>
          </cell>
          <cell r="CH146">
            <v>10.9</v>
          </cell>
          <cell r="CI146">
            <v>5.7</v>
          </cell>
          <cell r="CJ146">
            <v>77.5</v>
          </cell>
          <cell r="CK146">
            <v>31.900000000000002</v>
          </cell>
          <cell r="CL146">
            <v>6.7</v>
          </cell>
          <cell r="CM146">
            <v>5</v>
          </cell>
          <cell r="CN146">
            <v>4.8</v>
          </cell>
          <cell r="CO146">
            <v>71.5</v>
          </cell>
          <cell r="CP146">
            <v>25.900000000000002</v>
          </cell>
          <cell r="CQ146">
            <v>40</v>
          </cell>
          <cell r="CR146">
            <v>3.9</v>
          </cell>
          <cell r="CS146">
            <v>30.2</v>
          </cell>
          <cell r="CT146">
            <v>20.5</v>
          </cell>
          <cell r="CU146">
            <v>79.5</v>
          </cell>
          <cell r="CV146">
            <v>25</v>
          </cell>
          <cell r="CW146">
            <v>75</v>
          </cell>
          <cell r="CX146">
            <v>16.7</v>
          </cell>
          <cell r="CY146">
            <v>14.6</v>
          </cell>
          <cell r="CZ146">
            <v>68.7</v>
          </cell>
          <cell r="DA146">
            <v>40</v>
          </cell>
          <cell r="DB146" t="str">
            <v>nd</v>
          </cell>
          <cell r="DC146" t="str">
            <v>nd</v>
          </cell>
          <cell r="DD146">
            <v>0</v>
          </cell>
          <cell r="DE146">
            <v>58.099999999999994</v>
          </cell>
          <cell r="DF146">
            <v>6.5</v>
          </cell>
          <cell r="DG146">
            <v>2.5</v>
          </cell>
          <cell r="DH146">
            <v>12.4</v>
          </cell>
          <cell r="DI146">
            <v>32.700000000000003</v>
          </cell>
          <cell r="DJ146">
            <v>21.6</v>
          </cell>
          <cell r="DK146">
            <v>24.4</v>
          </cell>
          <cell r="DL146">
            <v>11.600000000000001</v>
          </cell>
          <cell r="DM146">
            <v>46.400000000000006</v>
          </cell>
          <cell r="DN146">
            <v>0</v>
          </cell>
          <cell r="DO146">
            <v>16.5</v>
          </cell>
          <cell r="DP146">
            <v>9.5</v>
          </cell>
          <cell r="DQ146">
            <v>5.7</v>
          </cell>
          <cell r="DR146">
            <v>22.7</v>
          </cell>
          <cell r="DS146">
            <v>12.6</v>
          </cell>
          <cell r="DT146">
            <v>15.4</v>
          </cell>
          <cell r="DU146">
            <v>0</v>
          </cell>
          <cell r="DV146" t="str">
            <v>nd</v>
          </cell>
          <cell r="DW146">
            <v>0</v>
          </cell>
          <cell r="DX146">
            <v>0</v>
          </cell>
          <cell r="DY146" t="str">
            <v>nd</v>
          </cell>
          <cell r="DZ146">
            <v>21.8892995</v>
          </cell>
          <cell r="EA146">
            <v>2.31073</v>
          </cell>
          <cell r="EB146">
            <v>4.3110500000000007</v>
          </cell>
          <cell r="EC146">
            <v>4.2121199999999996</v>
          </cell>
          <cell r="ED146">
            <v>1.70878</v>
          </cell>
          <cell r="EE146">
            <v>0.71794199999999997</v>
          </cell>
          <cell r="EF146">
            <v>5.7748900000000001</v>
          </cell>
          <cell r="EG146">
            <v>1.9294700000000002</v>
          </cell>
          <cell r="EH146">
            <v>6.1266300000000005</v>
          </cell>
          <cell r="EI146">
            <v>6.1127799999999999</v>
          </cell>
          <cell r="EJ146">
            <v>2.62574</v>
          </cell>
          <cell r="EK146">
            <v>12.7365543</v>
          </cell>
          <cell r="EL146">
            <v>9.3928560999999995</v>
          </cell>
          <cell r="EM146">
            <v>2.5560399999999999</v>
          </cell>
          <cell r="EN146">
            <v>2.0213700000000001</v>
          </cell>
          <cell r="EO146">
            <v>1.64575</v>
          </cell>
          <cell r="EP146">
            <v>2.9812499999999997</v>
          </cell>
          <cell r="EQ146">
            <v>4.3979799999999996</v>
          </cell>
          <cell r="ER146" t="str">
            <v>nd</v>
          </cell>
          <cell r="ES146">
            <v>0</v>
          </cell>
          <cell r="ET146" t="str">
            <v>nd</v>
          </cell>
          <cell r="EU146" t="str">
            <v>nd</v>
          </cell>
          <cell r="EV146">
            <v>0</v>
          </cell>
          <cell r="EW146">
            <v>0</v>
          </cell>
          <cell r="EX146">
            <v>0</v>
          </cell>
          <cell r="EY146">
            <v>0</v>
          </cell>
          <cell r="EZ146">
            <v>0</v>
          </cell>
          <cell r="FA146" t="str">
            <v>nd</v>
          </cell>
          <cell r="FB146">
            <v>2.7721</v>
          </cell>
          <cell r="FC146">
            <v>2.8174799999999998</v>
          </cell>
          <cell r="FD146" t="str">
            <v>nd</v>
          </cell>
          <cell r="FE146" t="str">
            <v>nd</v>
          </cell>
          <cell r="FF146">
            <v>3.6310700000000002</v>
          </cell>
          <cell r="FG146">
            <v>22.269293000000001</v>
          </cell>
          <cell r="FH146">
            <v>1.46777</v>
          </cell>
          <cell r="FI146">
            <v>10.213398699999999</v>
          </cell>
          <cell r="FJ146">
            <v>6.2528015000000003</v>
          </cell>
          <cell r="FK146">
            <v>6.8826707000000003</v>
          </cell>
          <cell r="FL146">
            <v>2.6408800000000001</v>
          </cell>
          <cell r="FM146">
            <v>4.3387399999999996</v>
          </cell>
          <cell r="FN146">
            <v>4.6783199999999994</v>
          </cell>
          <cell r="FO146">
            <v>7.5495769000000008</v>
          </cell>
          <cell r="FP146">
            <v>3.5195400000000001</v>
          </cell>
          <cell r="FQ146">
            <v>4.0144399999999996</v>
          </cell>
          <cell r="FR146" t="str">
            <v>nd</v>
          </cell>
          <cell r="FS146">
            <v>1.9474499999999999</v>
          </cell>
          <cell r="FT146">
            <v>5.3317999999999994</v>
          </cell>
          <cell r="FU146" t="str">
            <v>nd</v>
          </cell>
          <cell r="FV146">
            <v>0</v>
          </cell>
          <cell r="FW146" t="str">
            <v>nd</v>
          </cell>
          <cell r="FX146">
            <v>0</v>
          </cell>
          <cell r="FY146" t="str">
            <v>nd</v>
          </cell>
          <cell r="FZ146" t="str">
            <v>nd</v>
          </cell>
          <cell r="GA146" t="str">
            <v>nd</v>
          </cell>
          <cell r="GB146">
            <v>0</v>
          </cell>
          <cell r="GC146">
            <v>0</v>
          </cell>
          <cell r="GD146">
            <v>0</v>
          </cell>
          <cell r="GE146">
            <v>2.9565700000000001</v>
          </cell>
          <cell r="GF146">
            <v>0</v>
          </cell>
          <cell r="GG146" t="str">
            <v>nd</v>
          </cell>
          <cell r="GH146">
            <v>2.7402099999999998</v>
          </cell>
          <cell r="GI146">
            <v>2.4434200000000001</v>
          </cell>
          <cell r="GJ146">
            <v>5.1320899999999998</v>
          </cell>
          <cell r="GK146">
            <v>22.307715600000002</v>
          </cell>
          <cell r="GL146" t="str">
            <v>nd</v>
          </cell>
          <cell r="GM146" t="str">
            <v>nd</v>
          </cell>
          <cell r="GN146">
            <v>4.76891</v>
          </cell>
          <cell r="GO146">
            <v>3.2100400000000002</v>
          </cell>
          <cell r="GP146">
            <v>9.0100517</v>
          </cell>
          <cell r="GQ146">
            <v>17.392653499999998</v>
          </cell>
          <cell r="GR146">
            <v>0</v>
          </cell>
          <cell r="GS146">
            <v>0</v>
          </cell>
          <cell r="GT146">
            <v>0</v>
          </cell>
          <cell r="GU146">
            <v>2.09789</v>
          </cell>
          <cell r="GV146">
            <v>3.6774</v>
          </cell>
          <cell r="GW146">
            <v>17.980540099999999</v>
          </cell>
          <cell r="GX146">
            <v>0</v>
          </cell>
          <cell r="GY146">
            <v>0</v>
          </cell>
          <cell r="GZ146" t="str">
            <v>nd</v>
          </cell>
          <cell r="HA146">
            <v>0</v>
          </cell>
          <cell r="HB146" t="str">
            <v>nd</v>
          </cell>
          <cell r="HC146">
            <v>2.40306</v>
          </cell>
          <cell r="HD146">
            <v>0</v>
          </cell>
          <cell r="HE146" t="str">
            <v>nd</v>
          </cell>
          <cell r="HF146">
            <v>0</v>
          </cell>
          <cell r="HG146">
            <v>0</v>
          </cell>
          <cell r="HH146" t="str">
            <v>nd</v>
          </cell>
          <cell r="HI146">
            <v>0</v>
          </cell>
          <cell r="HJ146">
            <v>0</v>
          </cell>
          <cell r="HK146">
            <v>0</v>
          </cell>
          <cell r="HL146" t="str">
            <v>nd</v>
          </cell>
          <cell r="HM146">
            <v>30.885434699999998</v>
          </cell>
          <cell r="HN146">
            <v>3.5639200000000004</v>
          </cell>
          <cell r="HO146">
            <v>0</v>
          </cell>
          <cell r="HP146">
            <v>0</v>
          </cell>
          <cell r="HQ146">
            <v>0</v>
          </cell>
          <cell r="HR146" t="str">
            <v>nd</v>
          </cell>
          <cell r="HS146">
            <v>20.267708500000001</v>
          </cell>
          <cell r="HT146">
            <v>14.1265755</v>
          </cell>
          <cell r="HU146">
            <v>0</v>
          </cell>
          <cell r="HV146">
            <v>0</v>
          </cell>
          <cell r="HW146">
            <v>0</v>
          </cell>
          <cell r="HX146" t="str">
            <v>nd</v>
          </cell>
          <cell r="HY146">
            <v>12.063424400000001</v>
          </cell>
          <cell r="HZ146">
            <v>10.1577997</v>
          </cell>
          <cell r="IA146">
            <v>0</v>
          </cell>
          <cell r="IB146">
            <v>0</v>
          </cell>
          <cell r="IC146">
            <v>0</v>
          </cell>
          <cell r="ID146">
            <v>0</v>
          </cell>
          <cell r="IE146" t="str">
            <v>nd</v>
          </cell>
          <cell r="IF146">
            <v>1.6051200000000001</v>
          </cell>
          <cell r="IG146">
            <v>0</v>
          </cell>
          <cell r="IH146" t="str">
            <v>nd</v>
          </cell>
          <cell r="II146">
            <v>0</v>
          </cell>
          <cell r="IJ146">
            <v>0</v>
          </cell>
          <cell r="IK146">
            <v>2.81874</v>
          </cell>
          <cell r="IL146">
            <v>0</v>
          </cell>
          <cell r="IM146">
            <v>0</v>
          </cell>
          <cell r="IN146" t="str">
            <v>nd</v>
          </cell>
          <cell r="IO146">
            <v>2.8337699999999999</v>
          </cell>
          <cell r="IP146">
            <v>28.684997299999999</v>
          </cell>
          <cell r="IQ146">
            <v>2.8340299999999998</v>
          </cell>
          <cell r="IR146" t="str">
            <v>nd</v>
          </cell>
          <cell r="IS146">
            <v>1.81582</v>
          </cell>
          <cell r="IT146" t="str">
            <v>nd</v>
          </cell>
          <cell r="IU146">
            <v>6.1411199999999999</v>
          </cell>
          <cell r="IV146">
            <v>15.6456084</v>
          </cell>
          <cell r="IW146">
            <v>8.7212526999999991</v>
          </cell>
          <cell r="IX146">
            <v>0</v>
          </cell>
          <cell r="IY146">
            <v>0</v>
          </cell>
          <cell r="IZ146" t="str">
            <v>nd</v>
          </cell>
          <cell r="JA146">
            <v>3.5238899999999997</v>
          </cell>
          <cell r="JB146">
            <v>11.4599268</v>
          </cell>
          <cell r="JC146">
            <v>6.1047599999999997</v>
          </cell>
          <cell r="JD146">
            <v>0</v>
          </cell>
          <cell r="JE146">
            <v>0</v>
          </cell>
          <cell r="JF146">
            <v>0</v>
          </cell>
          <cell r="JG146" t="str">
            <v>nd</v>
          </cell>
          <cell r="JH146" t="str">
            <v>nd</v>
          </cell>
          <cell r="JI146" t="str">
            <v>nd</v>
          </cell>
          <cell r="JJ146">
            <v>0</v>
          </cell>
          <cell r="JK146">
            <v>0</v>
          </cell>
          <cell r="JL146">
            <v>0</v>
          </cell>
          <cell r="JM146">
            <v>0</v>
          </cell>
          <cell r="JN146">
            <v>3.2656999999999998</v>
          </cell>
          <cell r="JO146">
            <v>0</v>
          </cell>
          <cell r="JP146">
            <v>0</v>
          </cell>
          <cell r="JQ146">
            <v>0</v>
          </cell>
          <cell r="JR146">
            <v>0</v>
          </cell>
          <cell r="JS146">
            <v>0</v>
          </cell>
          <cell r="JT146">
            <v>34.694535199999997</v>
          </cell>
          <cell r="JU146">
            <v>0</v>
          </cell>
          <cell r="JV146">
            <v>0</v>
          </cell>
          <cell r="JW146">
            <v>0</v>
          </cell>
          <cell r="JX146">
            <v>0</v>
          </cell>
          <cell r="JY146">
            <v>0</v>
          </cell>
          <cell r="JZ146">
            <v>35.022744000000003</v>
          </cell>
          <cell r="KA146">
            <v>0</v>
          </cell>
          <cell r="KB146">
            <v>0</v>
          </cell>
          <cell r="KC146">
            <v>0</v>
          </cell>
          <cell r="KD146" t="str">
            <v>nd</v>
          </cell>
          <cell r="KE146" t="str">
            <v>nd</v>
          </cell>
          <cell r="KF146">
            <v>22.678037700000001</v>
          </cell>
          <cell r="KG146">
            <v>0</v>
          </cell>
          <cell r="KH146">
            <v>0</v>
          </cell>
          <cell r="KI146">
            <v>0</v>
          </cell>
          <cell r="KJ146">
            <v>0</v>
          </cell>
          <cell r="KK146">
            <v>0</v>
          </cell>
          <cell r="KL146">
            <v>3.4038499999999998</v>
          </cell>
          <cell r="KM146">
            <v>45.5</v>
          </cell>
          <cell r="KN146">
            <v>32.6</v>
          </cell>
          <cell r="KO146">
            <v>10.299999999999999</v>
          </cell>
          <cell r="KP146">
            <v>3.5999999999999996</v>
          </cell>
          <cell r="KQ146">
            <v>7.8</v>
          </cell>
          <cell r="KR146">
            <v>0.1</v>
          </cell>
          <cell r="KS146">
            <v>45.2</v>
          </cell>
          <cell r="KT146">
            <v>31.7</v>
          </cell>
          <cell r="KU146">
            <v>10.7</v>
          </cell>
          <cell r="KV146">
            <v>3.8</v>
          </cell>
          <cell r="KW146">
            <v>8.5</v>
          </cell>
          <cell r="KX146">
            <v>0.1</v>
          </cell>
          <cell r="KY146"/>
          <cell r="KZ146"/>
          <cell r="LA146"/>
          <cell r="LB146"/>
          <cell r="LC146"/>
          <cell r="LD146"/>
          <cell r="LE146"/>
          <cell r="LF146"/>
          <cell r="LG146"/>
          <cell r="LH146"/>
          <cell r="LI146"/>
          <cell r="LJ146"/>
          <cell r="LK146"/>
          <cell r="LL146"/>
          <cell r="LM146"/>
          <cell r="LN146"/>
          <cell r="LO146"/>
        </row>
        <row r="147">
          <cell r="A147" t="str">
            <v>EnsNZ</v>
          </cell>
          <cell r="B147" t="str">
            <v>147</v>
          </cell>
          <cell r="C147" t="str">
            <v>NAF 38</v>
          </cell>
          <cell r="D147" t="str">
            <v>NZ</v>
          </cell>
          <cell r="E147" t="str">
            <v/>
          </cell>
          <cell r="F147">
            <v>2.1999999999999997</v>
          </cell>
          <cell r="G147">
            <v>13.600000000000001</v>
          </cell>
          <cell r="H147">
            <v>46.300000000000004</v>
          </cell>
          <cell r="I147">
            <v>31</v>
          </cell>
          <cell r="J147">
            <v>6.8000000000000007</v>
          </cell>
          <cell r="K147">
            <v>58.099999999999994</v>
          </cell>
          <cell r="L147">
            <v>33.300000000000004</v>
          </cell>
          <cell r="M147">
            <v>2.8000000000000003</v>
          </cell>
          <cell r="N147">
            <v>5.8000000000000007</v>
          </cell>
          <cell r="O147">
            <v>34.300000000000004</v>
          </cell>
          <cell r="P147">
            <v>26</v>
          </cell>
          <cell r="Q147">
            <v>8.9</v>
          </cell>
          <cell r="R147">
            <v>3.6999999999999997</v>
          </cell>
          <cell r="S147">
            <v>14.099999999999998</v>
          </cell>
          <cell r="T147">
            <v>36.199999999999996</v>
          </cell>
          <cell r="U147">
            <v>17.7</v>
          </cell>
          <cell r="V147">
            <v>22.5</v>
          </cell>
          <cell r="W147">
            <v>25.7</v>
          </cell>
          <cell r="X147">
            <v>61.7</v>
          </cell>
          <cell r="Y147">
            <v>12.6</v>
          </cell>
          <cell r="Z147">
            <v>1.2</v>
          </cell>
          <cell r="AA147">
            <v>61.5</v>
          </cell>
          <cell r="AB147">
            <v>9.3000000000000007</v>
          </cell>
          <cell r="AC147">
            <v>58.3</v>
          </cell>
          <cell r="AD147">
            <v>28.299999999999997</v>
          </cell>
          <cell r="AE147">
            <v>72.7</v>
          </cell>
          <cell r="AF147">
            <v>27.3</v>
          </cell>
          <cell r="AG147">
            <v>60.699999999999996</v>
          </cell>
          <cell r="AH147">
            <v>39.300000000000004</v>
          </cell>
          <cell r="AI147">
            <v>43.6</v>
          </cell>
          <cell r="AJ147">
            <v>25.8</v>
          </cell>
          <cell r="AK147">
            <v>2.2999999999999998</v>
          </cell>
          <cell r="AL147">
            <v>23.799999999999997</v>
          </cell>
          <cell r="AM147">
            <v>4.5</v>
          </cell>
          <cell r="AN147">
            <v>6.6000000000000005</v>
          </cell>
          <cell r="AO147">
            <v>1.7000000000000002</v>
          </cell>
          <cell r="AP147">
            <v>4.3999999999999995</v>
          </cell>
          <cell r="AQ147">
            <v>72.899999999999991</v>
          </cell>
          <cell r="AR147">
            <v>14.399999999999999</v>
          </cell>
          <cell r="AS147">
            <v>57.4</v>
          </cell>
          <cell r="AT147">
            <v>16.600000000000001</v>
          </cell>
          <cell r="AU147">
            <v>8.1</v>
          </cell>
          <cell r="AV147">
            <v>6.8000000000000007</v>
          </cell>
          <cell r="AW147">
            <v>7.1999999999999993</v>
          </cell>
          <cell r="AX147">
            <v>3.9</v>
          </cell>
          <cell r="AY147">
            <v>5.7</v>
          </cell>
          <cell r="AZ147">
            <v>4.9000000000000004</v>
          </cell>
          <cell r="BA147">
            <v>5.4</v>
          </cell>
          <cell r="BB147">
            <v>5.7</v>
          </cell>
          <cell r="BC147">
            <v>34.5</v>
          </cell>
          <cell r="BD147">
            <v>43.8</v>
          </cell>
          <cell r="BE147">
            <v>1.7999999999999998</v>
          </cell>
          <cell r="BF147">
            <v>4.2</v>
          </cell>
          <cell r="BG147">
            <v>4.5999999999999996</v>
          </cell>
          <cell r="BH147">
            <v>9.1999999999999993</v>
          </cell>
          <cell r="BI147">
            <v>44.2</v>
          </cell>
          <cell r="BJ147">
            <v>36</v>
          </cell>
          <cell r="BK147">
            <v>0</v>
          </cell>
          <cell r="BL147">
            <v>0</v>
          </cell>
          <cell r="BM147">
            <v>1</v>
          </cell>
          <cell r="BN147">
            <v>9.5</v>
          </cell>
          <cell r="BO147">
            <v>69.5</v>
          </cell>
          <cell r="BP147">
            <v>20.100000000000001</v>
          </cell>
          <cell r="BQ147" t="str">
            <v>nd</v>
          </cell>
          <cell r="BR147">
            <v>0.4</v>
          </cell>
          <cell r="BS147">
            <v>0.6</v>
          </cell>
          <cell r="BT147">
            <v>13.5</v>
          </cell>
          <cell r="BU147">
            <v>65.7</v>
          </cell>
          <cell r="BV147">
            <v>19.400000000000002</v>
          </cell>
          <cell r="BW147">
            <v>0</v>
          </cell>
          <cell r="BX147">
            <v>0</v>
          </cell>
          <cell r="BY147">
            <v>0</v>
          </cell>
          <cell r="BZ147" t="str">
            <v>nd</v>
          </cell>
          <cell r="CA147">
            <v>2.2999999999999998</v>
          </cell>
          <cell r="CB147">
            <v>97.3</v>
          </cell>
          <cell r="CC147">
            <v>13.900000000000002</v>
          </cell>
          <cell r="CD147">
            <v>11.3</v>
          </cell>
          <cell r="CE147">
            <v>1.5</v>
          </cell>
          <cell r="CF147">
            <v>0.89999999999999991</v>
          </cell>
          <cell r="CG147">
            <v>1.0999999999999999</v>
          </cell>
          <cell r="CH147">
            <v>20.8</v>
          </cell>
          <cell r="CI147">
            <v>15.5</v>
          </cell>
          <cell r="CJ147">
            <v>58.9</v>
          </cell>
          <cell r="CK147">
            <v>23</v>
          </cell>
          <cell r="CL147">
            <v>2.1</v>
          </cell>
          <cell r="CM147">
            <v>3.1</v>
          </cell>
          <cell r="CN147">
            <v>1.6</v>
          </cell>
          <cell r="CO147">
            <v>76</v>
          </cell>
          <cell r="CP147">
            <v>21.099999999999998</v>
          </cell>
          <cell r="CQ147">
            <v>25</v>
          </cell>
          <cell r="CR147">
            <v>19.7</v>
          </cell>
          <cell r="CS147">
            <v>34.200000000000003</v>
          </cell>
          <cell r="CT147">
            <v>26.1</v>
          </cell>
          <cell r="CU147">
            <v>73.900000000000006</v>
          </cell>
          <cell r="CV147">
            <v>39.6</v>
          </cell>
          <cell r="CW147">
            <v>60.4</v>
          </cell>
          <cell r="CX147">
            <v>31.6</v>
          </cell>
          <cell r="CY147">
            <v>21.6</v>
          </cell>
          <cell r="CZ147">
            <v>46.800000000000004</v>
          </cell>
          <cell r="DA147">
            <v>9.1999999999999993</v>
          </cell>
          <cell r="DB147">
            <v>5.6000000000000005</v>
          </cell>
          <cell r="DC147">
            <v>5.3</v>
          </cell>
          <cell r="DD147">
            <v>0.70000000000000007</v>
          </cell>
          <cell r="DE147">
            <v>83.2</v>
          </cell>
          <cell r="DF147">
            <v>14.2</v>
          </cell>
          <cell r="DG147">
            <v>8.7999999999999989</v>
          </cell>
          <cell r="DH147">
            <v>19.2</v>
          </cell>
          <cell r="DI147">
            <v>20.3</v>
          </cell>
          <cell r="DJ147">
            <v>20.8</v>
          </cell>
          <cell r="DK147">
            <v>16.600000000000001</v>
          </cell>
          <cell r="DL147">
            <v>14.6</v>
          </cell>
          <cell r="DM147">
            <v>44.4</v>
          </cell>
          <cell r="DN147">
            <v>12.4</v>
          </cell>
          <cell r="DO147">
            <v>25.3</v>
          </cell>
          <cell r="DP147">
            <v>16.7</v>
          </cell>
          <cell r="DQ147">
            <v>6.6000000000000005</v>
          </cell>
          <cell r="DR147">
            <v>5.6000000000000005</v>
          </cell>
          <cell r="DS147">
            <v>18</v>
          </cell>
          <cell r="DT147">
            <v>19.3</v>
          </cell>
          <cell r="DU147" t="str">
            <v>nd</v>
          </cell>
          <cell r="DV147">
            <v>1.4082699999999999</v>
          </cell>
          <cell r="DW147">
            <v>0</v>
          </cell>
          <cell r="DX147" t="str">
            <v>nd</v>
          </cell>
          <cell r="DY147">
            <v>0.67360700000000007</v>
          </cell>
          <cell r="DZ147">
            <v>3.1166399999999999</v>
          </cell>
          <cell r="EA147">
            <v>2.03857</v>
          </cell>
          <cell r="EB147">
            <v>2.9266299999999998</v>
          </cell>
          <cell r="EC147">
            <v>2.3081299999999998</v>
          </cell>
          <cell r="ED147">
            <v>2.7101099999999998</v>
          </cell>
          <cell r="EE147">
            <v>0.61795100000000003</v>
          </cell>
          <cell r="EF147">
            <v>27.960792400000003</v>
          </cell>
          <cell r="EG147">
            <v>11.5322864</v>
          </cell>
          <cell r="EH147">
            <v>2.8851999999999998</v>
          </cell>
          <cell r="EI147">
            <v>2.4613300000000002</v>
          </cell>
          <cell r="EJ147">
            <v>1.33718</v>
          </cell>
          <cell r="EK147">
            <v>0.55109800000000009</v>
          </cell>
          <cell r="EL147">
            <v>21.940924299999999</v>
          </cell>
          <cell r="EM147">
            <v>2.11097</v>
          </cell>
          <cell r="EN147">
            <v>1.99532</v>
          </cell>
          <cell r="EO147">
            <v>1.57355</v>
          </cell>
          <cell r="EP147">
            <v>1.2740800000000001</v>
          </cell>
          <cell r="EQ147">
            <v>1.7342599999999999</v>
          </cell>
          <cell r="ER147">
            <v>4.4168399999999997</v>
          </cell>
          <cell r="ES147">
            <v>0.86560999999999999</v>
          </cell>
          <cell r="ET147">
            <v>0.26121800000000001</v>
          </cell>
          <cell r="EU147">
            <v>0.41214800000000001</v>
          </cell>
          <cell r="EV147">
            <v>0.418707</v>
          </cell>
          <cell r="EW147">
            <v>0.297122</v>
          </cell>
          <cell r="EX147" t="str">
            <v>nd</v>
          </cell>
          <cell r="EY147">
            <v>0.59455800000000003</v>
          </cell>
          <cell r="EZ147" t="str">
            <v>nd</v>
          </cell>
          <cell r="FA147">
            <v>0.15842899999999999</v>
          </cell>
          <cell r="FB147">
            <v>1.2762</v>
          </cell>
          <cell r="FC147">
            <v>1.92641</v>
          </cell>
          <cell r="FD147">
            <v>0.62190699999999999</v>
          </cell>
          <cell r="FE147">
            <v>0.61405899999999991</v>
          </cell>
          <cell r="FF147">
            <v>0.92274</v>
          </cell>
          <cell r="FG147">
            <v>5.3716699999999999</v>
          </cell>
          <cell r="FH147">
            <v>4.1370800000000001</v>
          </cell>
          <cell r="FI147">
            <v>0.99392999999999998</v>
          </cell>
          <cell r="FJ147">
            <v>2.4538600000000002</v>
          </cell>
          <cell r="FK147">
            <v>3.0341499999999999</v>
          </cell>
          <cell r="FL147">
            <v>2.0235099999999999</v>
          </cell>
          <cell r="FM147">
            <v>20.339928700000002</v>
          </cell>
          <cell r="FN147">
            <v>18.065363900000001</v>
          </cell>
          <cell r="FO147">
            <v>2.2784499999999999</v>
          </cell>
          <cell r="FP147">
            <v>1.7024000000000001</v>
          </cell>
          <cell r="FQ147">
            <v>1.3004</v>
          </cell>
          <cell r="FR147">
            <v>1.9166300000000001</v>
          </cell>
          <cell r="FS147">
            <v>6.7450904000000005</v>
          </cell>
          <cell r="FT147">
            <v>16.968039600000001</v>
          </cell>
          <cell r="FU147">
            <v>0.48101100000000002</v>
          </cell>
          <cell r="FV147" t="str">
            <v>nd</v>
          </cell>
          <cell r="FW147">
            <v>0.31359100000000001</v>
          </cell>
          <cell r="FX147">
            <v>0.64402599999999999</v>
          </cell>
          <cell r="FY147">
            <v>1.4396100000000001</v>
          </cell>
          <cell r="FZ147">
            <v>3.3803800000000002</v>
          </cell>
          <cell r="GA147">
            <v>0.82523000000000002</v>
          </cell>
          <cell r="GB147" t="str">
            <v>nd</v>
          </cell>
          <cell r="GC147" t="str">
            <v>nd</v>
          </cell>
          <cell r="GD147" t="str">
            <v>nd</v>
          </cell>
          <cell r="GE147" t="str">
            <v>nd</v>
          </cell>
          <cell r="GF147">
            <v>0.46060099999999998</v>
          </cell>
          <cell r="GG147">
            <v>2.51939</v>
          </cell>
          <cell r="GH147">
            <v>2.7840199999999999</v>
          </cell>
          <cell r="GI147">
            <v>1.9580599999999999</v>
          </cell>
          <cell r="GJ147">
            <v>3.7735200000000004</v>
          </cell>
          <cell r="GK147">
            <v>2.0209999999999999</v>
          </cell>
          <cell r="GL147">
            <v>0.46390499999999996</v>
          </cell>
          <cell r="GM147">
            <v>0.87024999999999997</v>
          </cell>
          <cell r="GN147">
            <v>1.6231</v>
          </cell>
          <cell r="GO147">
            <v>5.7001099999999996</v>
          </cell>
          <cell r="GP147">
            <v>26.662195500000003</v>
          </cell>
          <cell r="GQ147">
            <v>10.967588599999999</v>
          </cell>
          <cell r="GR147">
            <v>0</v>
          </cell>
          <cell r="GS147">
            <v>0</v>
          </cell>
          <cell r="GT147" t="str">
            <v>nd</v>
          </cell>
          <cell r="GU147">
            <v>0.94023999999999996</v>
          </cell>
          <cell r="GV147">
            <v>11.0223607</v>
          </cell>
          <cell r="GW147">
            <v>19.403972199999998</v>
          </cell>
          <cell r="GX147" t="str">
            <v>nd</v>
          </cell>
          <cell r="GY147">
            <v>0</v>
          </cell>
          <cell r="GZ147" t="str">
            <v>nd</v>
          </cell>
          <cell r="HA147">
            <v>0.466364</v>
          </cell>
          <cell r="HB147">
            <v>2.7706600000000003</v>
          </cell>
          <cell r="HC147">
            <v>3.2951599999999996</v>
          </cell>
          <cell r="HD147">
            <v>0</v>
          </cell>
          <cell r="HE147">
            <v>0.97845999999999989</v>
          </cell>
          <cell r="HF147">
            <v>0</v>
          </cell>
          <cell r="HG147">
            <v>0.82544000000000006</v>
          </cell>
          <cell r="HH147">
            <v>0.50519500000000006</v>
          </cell>
          <cell r="HI147">
            <v>0</v>
          </cell>
          <cell r="HJ147">
            <v>0</v>
          </cell>
          <cell r="HK147">
            <v>0</v>
          </cell>
          <cell r="HL147">
            <v>0.64313900000000002</v>
          </cell>
          <cell r="HM147">
            <v>9.4415064000000015</v>
          </cell>
          <cell r="HN147">
            <v>3.4836399999999998</v>
          </cell>
          <cell r="HO147">
            <v>0</v>
          </cell>
          <cell r="HP147">
            <v>0</v>
          </cell>
          <cell r="HQ147">
            <v>0</v>
          </cell>
          <cell r="HR147">
            <v>5.8918499999999998</v>
          </cell>
          <cell r="HS147">
            <v>35.501251499999995</v>
          </cell>
          <cell r="HT147">
            <v>5.6326099999999997</v>
          </cell>
          <cell r="HU147">
            <v>0</v>
          </cell>
          <cell r="HV147">
            <v>0</v>
          </cell>
          <cell r="HW147">
            <v>0.95443</v>
          </cell>
          <cell r="HX147">
            <v>1.42126</v>
          </cell>
          <cell r="HY147">
            <v>19.665209099999998</v>
          </cell>
          <cell r="HZ147">
            <v>8.4205106000000001</v>
          </cell>
          <cell r="IA147">
            <v>0</v>
          </cell>
          <cell r="IB147">
            <v>0</v>
          </cell>
          <cell r="IC147">
            <v>0</v>
          </cell>
          <cell r="ID147">
            <v>0.702067</v>
          </cell>
          <cell r="IE147">
            <v>3.98089</v>
          </cell>
          <cell r="IF147">
            <v>1.95255</v>
          </cell>
          <cell r="IG147">
            <v>0</v>
          </cell>
          <cell r="IH147">
            <v>0.59478799999999998</v>
          </cell>
          <cell r="II147">
            <v>0</v>
          </cell>
          <cell r="IJ147">
            <v>0.73369700000000004</v>
          </cell>
          <cell r="IK147">
            <v>0.89639999999999997</v>
          </cell>
          <cell r="IL147" t="str">
            <v>nd</v>
          </cell>
          <cell r="IM147">
            <v>0.32330500000000001</v>
          </cell>
          <cell r="IN147">
            <v>0.178233</v>
          </cell>
          <cell r="IO147">
            <v>2.7354500000000002</v>
          </cell>
          <cell r="IP147">
            <v>7.8532441999999998</v>
          </cell>
          <cell r="IQ147">
            <v>2.3160699999999999</v>
          </cell>
          <cell r="IR147">
            <v>0</v>
          </cell>
          <cell r="IS147" t="str">
            <v>nd</v>
          </cell>
          <cell r="IT147" t="str">
            <v>nd</v>
          </cell>
          <cell r="IU147">
            <v>5.2820899999999993</v>
          </cell>
          <cell r="IV147">
            <v>34.828005599999997</v>
          </cell>
          <cell r="IW147">
            <v>6.5285777999999999</v>
          </cell>
          <cell r="IX147" t="str">
            <v>nd</v>
          </cell>
          <cell r="IY147">
            <v>0</v>
          </cell>
          <cell r="IZ147" t="str">
            <v>nd</v>
          </cell>
          <cell r="JA147">
            <v>4.0844800000000001</v>
          </cell>
          <cell r="JB147">
            <v>17.903640200000002</v>
          </cell>
          <cell r="JC147">
            <v>8.3029335</v>
          </cell>
          <cell r="JD147">
            <v>0</v>
          </cell>
          <cell r="JE147">
            <v>0</v>
          </cell>
          <cell r="JF147" t="str">
            <v>nd</v>
          </cell>
          <cell r="JG147">
            <v>0.67890099999999998</v>
          </cell>
          <cell r="JH147">
            <v>4.6093099999999998</v>
          </cell>
          <cell r="JI147">
            <v>1.29331</v>
          </cell>
          <cell r="JJ147">
            <v>0</v>
          </cell>
          <cell r="JK147">
            <v>0.73921300000000001</v>
          </cell>
          <cell r="JL147">
            <v>0</v>
          </cell>
          <cell r="JM147">
            <v>0</v>
          </cell>
          <cell r="JN147">
            <v>1.4655100000000001</v>
          </cell>
          <cell r="JO147">
            <v>0</v>
          </cell>
          <cell r="JP147">
            <v>0</v>
          </cell>
          <cell r="JQ147">
            <v>0</v>
          </cell>
          <cell r="JR147">
            <v>0</v>
          </cell>
          <cell r="JS147">
            <v>0.41648500000000005</v>
          </cell>
          <cell r="JT147">
            <v>13.235315699999999</v>
          </cell>
          <cell r="JU147">
            <v>0</v>
          </cell>
          <cell r="JV147">
            <v>0</v>
          </cell>
          <cell r="JW147">
            <v>0</v>
          </cell>
          <cell r="JX147" t="str">
            <v>nd</v>
          </cell>
          <cell r="JY147" t="str">
            <v>nd</v>
          </cell>
          <cell r="JZ147">
            <v>45.431894</v>
          </cell>
          <cell r="KA147">
            <v>0</v>
          </cell>
          <cell r="KB147">
            <v>0</v>
          </cell>
          <cell r="KC147">
            <v>0</v>
          </cell>
          <cell r="KD147">
            <v>0</v>
          </cell>
          <cell r="KE147">
            <v>0.23638499999999998</v>
          </cell>
          <cell r="KF147">
            <v>30.796670300000002</v>
          </cell>
          <cell r="KG147">
            <v>0</v>
          </cell>
          <cell r="KH147">
            <v>0</v>
          </cell>
          <cell r="KI147">
            <v>0</v>
          </cell>
          <cell r="KJ147">
            <v>0</v>
          </cell>
          <cell r="KK147">
            <v>0.12066200000000001</v>
          </cell>
          <cell r="KL147">
            <v>6.4106241999999991</v>
          </cell>
          <cell r="KM147">
            <v>65.600000000000009</v>
          </cell>
          <cell r="KN147">
            <v>12.3</v>
          </cell>
          <cell r="KO147">
            <v>9.7000000000000011</v>
          </cell>
          <cell r="KP147">
            <v>5.7</v>
          </cell>
          <cell r="KQ147">
            <v>6.6000000000000005</v>
          </cell>
          <cell r="KR147">
            <v>0.2</v>
          </cell>
          <cell r="KS147">
            <v>64.5</v>
          </cell>
          <cell r="KT147">
            <v>12.1</v>
          </cell>
          <cell r="KU147">
            <v>9.7000000000000011</v>
          </cell>
          <cell r="KV147">
            <v>6.2</v>
          </cell>
          <cell r="KW147">
            <v>7.3</v>
          </cell>
          <cell r="KX147">
            <v>0.2</v>
          </cell>
          <cell r="KY147"/>
          <cell r="KZ147"/>
          <cell r="LA147"/>
          <cell r="LB147"/>
          <cell r="LC147"/>
          <cell r="LD147"/>
          <cell r="LE147"/>
          <cell r="LF147"/>
          <cell r="LG147"/>
          <cell r="LH147"/>
          <cell r="LI147"/>
          <cell r="LJ147"/>
          <cell r="LK147"/>
          <cell r="LL147"/>
          <cell r="LM147"/>
          <cell r="LN147"/>
          <cell r="LO147"/>
        </row>
        <row r="148">
          <cell r="A148" t="str">
            <v>EnsPZ</v>
          </cell>
          <cell r="B148" t="str">
            <v>148</v>
          </cell>
          <cell r="C148" t="str">
            <v>NAF 38</v>
          </cell>
          <cell r="D148" t="str">
            <v>PZ</v>
          </cell>
          <cell r="E148" t="str">
            <v/>
          </cell>
          <cell r="F148">
            <v>1.9</v>
          </cell>
          <cell r="G148">
            <v>16.7</v>
          </cell>
          <cell r="H148">
            <v>31.900000000000002</v>
          </cell>
          <cell r="I148">
            <v>42.1</v>
          </cell>
          <cell r="J148">
            <v>7.3999999999999995</v>
          </cell>
          <cell r="K148">
            <v>24.8</v>
          </cell>
          <cell r="L148">
            <v>66.7</v>
          </cell>
          <cell r="M148" t="str">
            <v>nd</v>
          </cell>
          <cell r="N148">
            <v>7.3999999999999995</v>
          </cell>
          <cell r="O148">
            <v>25.7</v>
          </cell>
          <cell r="P148">
            <v>45.1</v>
          </cell>
          <cell r="Q148">
            <v>4.5999999999999996</v>
          </cell>
          <cell r="R148">
            <v>1.9</v>
          </cell>
          <cell r="S148">
            <v>8.1</v>
          </cell>
          <cell r="T148">
            <v>11.4</v>
          </cell>
          <cell r="U148">
            <v>16.8</v>
          </cell>
          <cell r="V148">
            <v>30.099999999999998</v>
          </cell>
          <cell r="W148">
            <v>10.4</v>
          </cell>
          <cell r="X148">
            <v>87.1</v>
          </cell>
          <cell r="Y148">
            <v>2.6</v>
          </cell>
          <cell r="Z148">
            <v>0</v>
          </cell>
          <cell r="AA148">
            <v>51.6</v>
          </cell>
          <cell r="AB148">
            <v>11.600000000000001</v>
          </cell>
          <cell r="AC148">
            <v>50.5</v>
          </cell>
          <cell r="AD148">
            <v>33.700000000000003</v>
          </cell>
          <cell r="AE148">
            <v>50.7</v>
          </cell>
          <cell r="AF148">
            <v>49.3</v>
          </cell>
          <cell r="AG148">
            <v>62.3</v>
          </cell>
          <cell r="AH148">
            <v>37.700000000000003</v>
          </cell>
          <cell r="AI148">
            <v>14.2</v>
          </cell>
          <cell r="AJ148">
            <v>29.799999999999997</v>
          </cell>
          <cell r="AK148">
            <v>4.5</v>
          </cell>
          <cell r="AL148">
            <v>43.7</v>
          </cell>
          <cell r="AM148">
            <v>7.7</v>
          </cell>
          <cell r="AN148">
            <v>5.3</v>
          </cell>
          <cell r="AO148">
            <v>2.6</v>
          </cell>
          <cell r="AP148">
            <v>1.4000000000000001</v>
          </cell>
          <cell r="AQ148">
            <v>85.1</v>
          </cell>
          <cell r="AR148">
            <v>5.5</v>
          </cell>
          <cell r="AS148">
            <v>62.1</v>
          </cell>
          <cell r="AT148">
            <v>15.299999999999999</v>
          </cell>
          <cell r="AU148">
            <v>5.6000000000000005</v>
          </cell>
          <cell r="AV148">
            <v>7.3999999999999995</v>
          </cell>
          <cell r="AW148">
            <v>3.5999999999999996</v>
          </cell>
          <cell r="AX148">
            <v>6</v>
          </cell>
          <cell r="AY148">
            <v>8</v>
          </cell>
          <cell r="AZ148">
            <v>8.3000000000000007</v>
          </cell>
          <cell r="BA148">
            <v>6</v>
          </cell>
          <cell r="BB148">
            <v>7.9</v>
          </cell>
          <cell r="BC148">
            <v>30.2</v>
          </cell>
          <cell r="BD148">
            <v>39.6</v>
          </cell>
          <cell r="BE148">
            <v>0.5</v>
          </cell>
          <cell r="BF148">
            <v>1.5</v>
          </cell>
          <cell r="BG148">
            <v>1.5</v>
          </cell>
          <cell r="BH148">
            <v>8.6999999999999993</v>
          </cell>
          <cell r="BI148">
            <v>27.700000000000003</v>
          </cell>
          <cell r="BJ148">
            <v>60.099999999999994</v>
          </cell>
          <cell r="BK148" t="str">
            <v>nd</v>
          </cell>
          <cell r="BL148">
            <v>0</v>
          </cell>
          <cell r="BM148">
            <v>0</v>
          </cell>
          <cell r="BN148">
            <v>4.5</v>
          </cell>
          <cell r="BO148">
            <v>51</v>
          </cell>
          <cell r="BP148">
            <v>44.3</v>
          </cell>
          <cell r="BQ148" t="str">
            <v>nd</v>
          </cell>
          <cell r="BR148">
            <v>0</v>
          </cell>
          <cell r="BS148">
            <v>0</v>
          </cell>
          <cell r="BT148">
            <v>3.3000000000000003</v>
          </cell>
          <cell r="BU148">
            <v>19.100000000000001</v>
          </cell>
          <cell r="BV148">
            <v>77</v>
          </cell>
          <cell r="BW148">
            <v>0</v>
          </cell>
          <cell r="BX148">
            <v>0</v>
          </cell>
          <cell r="BY148">
            <v>0</v>
          </cell>
          <cell r="BZ148">
            <v>0</v>
          </cell>
          <cell r="CA148">
            <v>2.7</v>
          </cell>
          <cell r="CB148">
            <v>97.3</v>
          </cell>
          <cell r="CC148">
            <v>7.3</v>
          </cell>
          <cell r="CD148">
            <v>4.7</v>
          </cell>
          <cell r="CE148" t="str">
            <v>nd</v>
          </cell>
          <cell r="CF148">
            <v>0.89999999999999991</v>
          </cell>
          <cell r="CG148">
            <v>0</v>
          </cell>
          <cell r="CH148">
            <v>15.9</v>
          </cell>
          <cell r="CI148">
            <v>15.5</v>
          </cell>
          <cell r="CJ148">
            <v>70.5</v>
          </cell>
          <cell r="CK148">
            <v>15.7</v>
          </cell>
          <cell r="CL148">
            <v>2.1999999999999997</v>
          </cell>
          <cell r="CM148">
            <v>2</v>
          </cell>
          <cell r="CN148">
            <v>1.6</v>
          </cell>
          <cell r="CO148">
            <v>84.6</v>
          </cell>
          <cell r="CP148">
            <v>22.3</v>
          </cell>
          <cell r="CQ148">
            <v>18.8</v>
          </cell>
          <cell r="CR148">
            <v>13.900000000000002</v>
          </cell>
          <cell r="CS148">
            <v>45.1</v>
          </cell>
          <cell r="CT148">
            <v>45.5</v>
          </cell>
          <cell r="CU148">
            <v>54.500000000000007</v>
          </cell>
          <cell r="CV148">
            <v>28.199999999999996</v>
          </cell>
          <cell r="CW148">
            <v>71.8</v>
          </cell>
          <cell r="CX148">
            <v>19.100000000000001</v>
          </cell>
          <cell r="CY148">
            <v>11.700000000000001</v>
          </cell>
          <cell r="CZ148">
            <v>69.199999999999989</v>
          </cell>
          <cell r="DA148">
            <v>37.799999999999997</v>
          </cell>
          <cell r="DB148" t="str">
            <v>nd</v>
          </cell>
          <cell r="DC148">
            <v>0</v>
          </cell>
          <cell r="DD148" t="str">
            <v>nd</v>
          </cell>
          <cell r="DE148">
            <v>65.7</v>
          </cell>
          <cell r="DF148">
            <v>11.4</v>
          </cell>
          <cell r="DG148">
            <v>6.6000000000000005</v>
          </cell>
          <cell r="DH148">
            <v>32.800000000000004</v>
          </cell>
          <cell r="DI148">
            <v>10.4</v>
          </cell>
          <cell r="DJ148">
            <v>9.1</v>
          </cell>
          <cell r="DK148">
            <v>29.7</v>
          </cell>
          <cell r="DL148">
            <v>14.799999999999999</v>
          </cell>
          <cell r="DM148">
            <v>15.1</v>
          </cell>
          <cell r="DN148">
            <v>11.5</v>
          </cell>
          <cell r="DO148">
            <v>58.199999999999996</v>
          </cell>
          <cell r="DP148">
            <v>8.7999999999999989</v>
          </cell>
          <cell r="DQ148">
            <v>2.9000000000000004</v>
          </cell>
          <cell r="DR148">
            <v>1.6</v>
          </cell>
          <cell r="DS148">
            <v>19.2</v>
          </cell>
          <cell r="DT148">
            <v>23.200000000000003</v>
          </cell>
          <cell r="DU148">
            <v>0.65312499999999996</v>
          </cell>
          <cell r="DV148" t="str">
            <v>nd</v>
          </cell>
          <cell r="DW148">
            <v>0</v>
          </cell>
          <cell r="DX148">
            <v>0.49033499999999997</v>
          </cell>
          <cell r="DY148">
            <v>0.67444499999999996</v>
          </cell>
          <cell r="DZ148">
            <v>8.062792</v>
          </cell>
          <cell r="EA148">
            <v>2.50264</v>
          </cell>
          <cell r="EB148">
            <v>1.2149799999999999</v>
          </cell>
          <cell r="EC148">
            <v>2.9567399999999999</v>
          </cell>
          <cell r="ED148">
            <v>0.44444899999999998</v>
          </cell>
          <cell r="EE148">
            <v>0.94137999999999999</v>
          </cell>
          <cell r="EF148">
            <v>17.250406400000003</v>
          </cell>
          <cell r="EG148">
            <v>5.6546799999999999</v>
          </cell>
          <cell r="EH148">
            <v>2.3544900000000002</v>
          </cell>
          <cell r="EI148">
            <v>2.5276900000000002</v>
          </cell>
          <cell r="EJ148">
            <v>1.79596</v>
          </cell>
          <cell r="EK148">
            <v>2.1459200000000003</v>
          </cell>
          <cell r="EL148">
            <v>30.973744700000001</v>
          </cell>
          <cell r="EM148">
            <v>5.8308800000000005</v>
          </cell>
          <cell r="EN148">
            <v>1.5194700000000001</v>
          </cell>
          <cell r="EO148">
            <v>1.07802</v>
          </cell>
          <cell r="EP148">
            <v>1.2175800000000001</v>
          </cell>
          <cell r="EQ148">
            <v>2.1038199999999998</v>
          </cell>
          <cell r="ER148">
            <v>5.0028100000000002</v>
          </cell>
          <cell r="ES148">
            <v>1.4400500000000001</v>
          </cell>
          <cell r="ET148">
            <v>0.51572600000000002</v>
          </cell>
          <cell r="EU148" t="str">
            <v>nd</v>
          </cell>
          <cell r="EV148">
            <v>0</v>
          </cell>
          <cell r="EW148" t="str">
            <v>nd</v>
          </cell>
          <cell r="EX148" t="str">
            <v>nd</v>
          </cell>
          <cell r="EY148">
            <v>0</v>
          </cell>
          <cell r="EZ148" t="str">
            <v>nd</v>
          </cell>
          <cell r="FA148" t="str">
            <v>nd</v>
          </cell>
          <cell r="FB148">
            <v>0.99743999999999999</v>
          </cell>
          <cell r="FC148">
            <v>2.1284100000000001</v>
          </cell>
          <cell r="FD148">
            <v>1.5022199999999999</v>
          </cell>
          <cell r="FE148">
            <v>0.96185999999999994</v>
          </cell>
          <cell r="FF148">
            <v>1.39418</v>
          </cell>
          <cell r="FG148">
            <v>5.1661099999999998</v>
          </cell>
          <cell r="FH148">
            <v>5.3364700000000003</v>
          </cell>
          <cell r="FI148">
            <v>2.1815199999999999</v>
          </cell>
          <cell r="FJ148">
            <v>3.2806799999999998</v>
          </cell>
          <cell r="FK148">
            <v>2.5404900000000001</v>
          </cell>
          <cell r="FL148">
            <v>3.4335999999999998</v>
          </cell>
          <cell r="FM148">
            <v>9.3179671000000006</v>
          </cell>
          <cell r="FN148">
            <v>11.2915343</v>
          </cell>
          <cell r="FO148">
            <v>3.4666099999999997</v>
          </cell>
          <cell r="FP148">
            <v>2.4689200000000002</v>
          </cell>
          <cell r="FQ148">
            <v>1.3265900000000002</v>
          </cell>
          <cell r="FR148">
            <v>3.0337499999999999</v>
          </cell>
          <cell r="FS148">
            <v>13.682751400000001</v>
          </cell>
          <cell r="FT148">
            <v>18.557810699999997</v>
          </cell>
          <cell r="FU148">
            <v>0</v>
          </cell>
          <cell r="FV148">
            <v>0.71662499999999996</v>
          </cell>
          <cell r="FW148" t="str">
            <v>nd</v>
          </cell>
          <cell r="FX148">
            <v>0</v>
          </cell>
          <cell r="FY148">
            <v>1.9001899999999998</v>
          </cell>
          <cell r="FZ148">
            <v>3.5118000000000005</v>
          </cell>
          <cell r="GA148">
            <v>0.51001799999999997</v>
          </cell>
          <cell r="GB148">
            <v>0.45196999999999998</v>
          </cell>
          <cell r="GC148" t="str">
            <v>nd</v>
          </cell>
          <cell r="GD148" t="str">
            <v>nd</v>
          </cell>
          <cell r="GE148">
            <v>0.50561800000000001</v>
          </cell>
          <cell r="GF148">
            <v>0</v>
          </cell>
          <cell r="GG148">
            <v>1.0691300000000001</v>
          </cell>
          <cell r="GH148">
            <v>0.79810000000000003</v>
          </cell>
          <cell r="GI148">
            <v>1.51664</v>
          </cell>
          <cell r="GJ148">
            <v>5.2534099999999997</v>
          </cell>
          <cell r="GK148">
            <v>7.1931185999999991</v>
          </cell>
          <cell r="GL148">
            <v>0</v>
          </cell>
          <cell r="GM148" t="str">
            <v>nd</v>
          </cell>
          <cell r="GN148" t="str">
            <v>nd</v>
          </cell>
          <cell r="GO148">
            <v>3.8201899999999998</v>
          </cell>
          <cell r="GP148">
            <v>10.3647168</v>
          </cell>
          <cell r="GQ148">
            <v>17.4940538</v>
          </cell>
          <cell r="GR148">
            <v>0</v>
          </cell>
          <cell r="GS148" t="str">
            <v>nd</v>
          </cell>
          <cell r="GT148" t="str">
            <v>nd</v>
          </cell>
          <cell r="GU148">
            <v>2.5611700000000002</v>
          </cell>
          <cell r="GV148">
            <v>10.021687699999999</v>
          </cell>
          <cell r="GW148">
            <v>29.718593199999997</v>
          </cell>
          <cell r="GX148">
            <v>0</v>
          </cell>
          <cell r="GY148">
            <v>0</v>
          </cell>
          <cell r="GZ148">
            <v>0</v>
          </cell>
          <cell r="HA148" t="str">
            <v>nd</v>
          </cell>
          <cell r="HB148">
            <v>1.59399</v>
          </cell>
          <cell r="HC148">
            <v>5.1522399999999999</v>
          </cell>
          <cell r="HD148">
            <v>0</v>
          </cell>
          <cell r="HE148">
            <v>0.72963800000000001</v>
          </cell>
          <cell r="HF148">
            <v>0</v>
          </cell>
          <cell r="HG148">
            <v>0</v>
          </cell>
          <cell r="HH148">
            <v>1.30227</v>
          </cell>
          <cell r="HI148">
            <v>0</v>
          </cell>
          <cell r="HJ148">
            <v>0</v>
          </cell>
          <cell r="HK148">
            <v>0</v>
          </cell>
          <cell r="HL148" t="str">
            <v>nd</v>
          </cell>
          <cell r="HM148">
            <v>8.3432779000000004</v>
          </cell>
          <cell r="HN148">
            <v>7.5052680999999994</v>
          </cell>
          <cell r="HO148">
            <v>0</v>
          </cell>
          <cell r="HP148">
            <v>0</v>
          </cell>
          <cell r="HQ148">
            <v>0</v>
          </cell>
          <cell r="HR148">
            <v>2.7037800000000001</v>
          </cell>
          <cell r="HS148">
            <v>18.40653</v>
          </cell>
          <cell r="HT148">
            <v>11.0928898</v>
          </cell>
          <cell r="HU148" t="str">
            <v>nd</v>
          </cell>
          <cell r="HV148">
            <v>0</v>
          </cell>
          <cell r="HW148">
            <v>0</v>
          </cell>
          <cell r="HX148">
            <v>0.85907</v>
          </cell>
          <cell r="HY148">
            <v>20.4086538</v>
          </cell>
          <cell r="HZ148">
            <v>20.305479099999999</v>
          </cell>
          <cell r="IA148">
            <v>0</v>
          </cell>
          <cell r="IB148">
            <v>0</v>
          </cell>
          <cell r="IC148">
            <v>0</v>
          </cell>
          <cell r="ID148" t="str">
            <v>nd</v>
          </cell>
          <cell r="IE148">
            <v>3.0781499999999999</v>
          </cell>
          <cell r="IF148">
            <v>4.1739600000000001</v>
          </cell>
          <cell r="IG148">
            <v>0</v>
          </cell>
          <cell r="IH148" t="str">
            <v>nd</v>
          </cell>
          <cell r="II148">
            <v>0</v>
          </cell>
          <cell r="IJ148">
            <v>0</v>
          </cell>
          <cell r="IK148">
            <v>1.3670599999999999</v>
          </cell>
          <cell r="IL148">
            <v>0</v>
          </cell>
          <cell r="IM148">
            <v>0</v>
          </cell>
          <cell r="IN148">
            <v>0</v>
          </cell>
          <cell r="IO148">
            <v>0.76669299999999996</v>
          </cell>
          <cell r="IP148">
            <v>3.7937899999999996</v>
          </cell>
          <cell r="IQ148">
            <v>11.158562099999999</v>
          </cell>
          <cell r="IR148" t="str">
            <v>nd</v>
          </cell>
          <cell r="IS148">
            <v>0</v>
          </cell>
          <cell r="IT148">
            <v>0</v>
          </cell>
          <cell r="IU148">
            <v>1.17109</v>
          </cell>
          <cell r="IV148">
            <v>8.3859728999999987</v>
          </cell>
          <cell r="IW148">
            <v>22.640823600000001</v>
          </cell>
          <cell r="IX148">
            <v>0</v>
          </cell>
          <cell r="IY148">
            <v>0</v>
          </cell>
          <cell r="IZ148">
            <v>0</v>
          </cell>
          <cell r="JA148">
            <v>1.28095</v>
          </cell>
          <cell r="JB148">
            <v>5.2989099999999993</v>
          </cell>
          <cell r="JC148">
            <v>36.740604399999995</v>
          </cell>
          <cell r="JD148">
            <v>0</v>
          </cell>
          <cell r="JE148">
            <v>0</v>
          </cell>
          <cell r="JF148">
            <v>0</v>
          </cell>
          <cell r="JG148">
            <v>0</v>
          </cell>
          <cell r="JH148">
            <v>1.6012299999999999</v>
          </cell>
          <cell r="JI148">
            <v>5.4106699999999996</v>
          </cell>
          <cell r="JJ148">
            <v>0</v>
          </cell>
          <cell r="JK148">
            <v>0</v>
          </cell>
          <cell r="JL148">
            <v>0</v>
          </cell>
          <cell r="JM148">
            <v>0</v>
          </cell>
          <cell r="JN148">
            <v>1.6805000000000001</v>
          </cell>
          <cell r="JO148">
            <v>0</v>
          </cell>
          <cell r="JP148">
            <v>0</v>
          </cell>
          <cell r="JQ148">
            <v>0</v>
          </cell>
          <cell r="JR148">
            <v>0</v>
          </cell>
          <cell r="JS148" t="str">
            <v>nd</v>
          </cell>
          <cell r="JT148">
            <v>15.487567599999998</v>
          </cell>
          <cell r="JU148">
            <v>0</v>
          </cell>
          <cell r="JV148">
            <v>0</v>
          </cell>
          <cell r="JW148">
            <v>0</v>
          </cell>
          <cell r="JX148">
            <v>0</v>
          </cell>
          <cell r="JY148">
            <v>1.6684500000000002</v>
          </cell>
          <cell r="JZ148">
            <v>30.440760000000001</v>
          </cell>
          <cell r="KA148">
            <v>0</v>
          </cell>
          <cell r="KB148">
            <v>0</v>
          </cell>
          <cell r="KC148">
            <v>0</v>
          </cell>
          <cell r="KD148">
            <v>0</v>
          </cell>
          <cell r="KE148">
            <v>0.81776000000000004</v>
          </cell>
          <cell r="KF148">
            <v>42.163663299999996</v>
          </cell>
          <cell r="KG148">
            <v>0</v>
          </cell>
          <cell r="KH148">
            <v>0</v>
          </cell>
          <cell r="KI148">
            <v>0</v>
          </cell>
          <cell r="KJ148">
            <v>0</v>
          </cell>
          <cell r="KK148">
            <v>0</v>
          </cell>
          <cell r="KL148">
            <v>7.4990783000000008</v>
          </cell>
          <cell r="KM148">
            <v>71</v>
          </cell>
          <cell r="KN148">
            <v>17.399999999999999</v>
          </cell>
          <cell r="KO148">
            <v>5.5</v>
          </cell>
          <cell r="KP148">
            <v>4.2</v>
          </cell>
          <cell r="KQ148">
            <v>1.7999999999999998</v>
          </cell>
          <cell r="KR148">
            <v>0.1</v>
          </cell>
          <cell r="KS148">
            <v>70.3</v>
          </cell>
          <cell r="KT148">
            <v>17.2</v>
          </cell>
          <cell r="KU148">
            <v>6</v>
          </cell>
          <cell r="KV148">
            <v>4.3999999999999995</v>
          </cell>
          <cell r="KW148">
            <v>2</v>
          </cell>
          <cell r="KX148">
            <v>0.1</v>
          </cell>
          <cell r="KY148"/>
          <cell r="KZ148"/>
          <cell r="LA148"/>
          <cell r="LB148"/>
          <cell r="LC148"/>
          <cell r="LD148"/>
          <cell r="LE148"/>
          <cell r="LF148"/>
          <cell r="LG148"/>
          <cell r="LH148"/>
          <cell r="LI148"/>
          <cell r="LJ148"/>
          <cell r="LK148"/>
          <cell r="LL148"/>
          <cell r="LM148"/>
          <cell r="LN148"/>
          <cell r="LO148"/>
        </row>
        <row r="149">
          <cell r="A149" t="str">
            <v>EnsQA</v>
          </cell>
          <cell r="B149" t="str">
            <v>149</v>
          </cell>
          <cell r="C149" t="str">
            <v>NAF 38</v>
          </cell>
          <cell r="D149" t="str">
            <v>QA</v>
          </cell>
          <cell r="E149" t="str">
            <v/>
          </cell>
          <cell r="F149">
            <v>0</v>
          </cell>
          <cell r="G149">
            <v>10.199999999999999</v>
          </cell>
          <cell r="H149">
            <v>29.2</v>
          </cell>
          <cell r="I149">
            <v>44.7</v>
          </cell>
          <cell r="J149">
            <v>15.9</v>
          </cell>
          <cell r="K149">
            <v>46</v>
          </cell>
          <cell r="L149">
            <v>38.5</v>
          </cell>
          <cell r="M149">
            <v>7.5</v>
          </cell>
          <cell r="N149">
            <v>8</v>
          </cell>
          <cell r="O149">
            <v>27.900000000000002</v>
          </cell>
          <cell r="P149">
            <v>35.299999999999997</v>
          </cell>
          <cell r="Q149">
            <v>17.7</v>
          </cell>
          <cell r="R149">
            <v>3.1</v>
          </cell>
          <cell r="S149">
            <v>30.2</v>
          </cell>
          <cell r="T149">
            <v>14.399999999999999</v>
          </cell>
          <cell r="U149">
            <v>5.6000000000000005</v>
          </cell>
          <cell r="V149">
            <v>19.7</v>
          </cell>
          <cell r="W149">
            <v>12.3</v>
          </cell>
          <cell r="X149">
            <v>76.900000000000006</v>
          </cell>
          <cell r="Y149">
            <v>10.8</v>
          </cell>
          <cell r="Z149">
            <v>0</v>
          </cell>
          <cell r="AA149">
            <v>67.800000000000011</v>
          </cell>
          <cell r="AB149" t="str">
            <v>nd</v>
          </cell>
          <cell r="AC149">
            <v>36.5</v>
          </cell>
          <cell r="AD149">
            <v>40</v>
          </cell>
          <cell r="AE149">
            <v>48</v>
          </cell>
          <cell r="AF149">
            <v>52</v>
          </cell>
          <cell r="AG149">
            <v>87.8</v>
          </cell>
          <cell r="AH149">
            <v>12.2</v>
          </cell>
          <cell r="AI149">
            <v>8.7999999999999989</v>
          </cell>
          <cell r="AJ149">
            <v>3.1</v>
          </cell>
          <cell r="AK149">
            <v>2.7</v>
          </cell>
          <cell r="AL149">
            <v>80.400000000000006</v>
          </cell>
          <cell r="AM149">
            <v>5</v>
          </cell>
          <cell r="AN149" t="str">
            <v>nd</v>
          </cell>
          <cell r="AO149" t="str">
            <v>nd</v>
          </cell>
          <cell r="AP149" t="str">
            <v>nd</v>
          </cell>
          <cell r="AQ149">
            <v>88.9</v>
          </cell>
          <cell r="AR149">
            <v>8.7999999999999989</v>
          </cell>
          <cell r="AS149">
            <v>82.3</v>
          </cell>
          <cell r="AT149">
            <v>9.1</v>
          </cell>
          <cell r="AU149">
            <v>1.3</v>
          </cell>
          <cell r="AV149">
            <v>0</v>
          </cell>
          <cell r="AW149">
            <v>1</v>
          </cell>
          <cell r="AX149">
            <v>6.3</v>
          </cell>
          <cell r="AY149" t="str">
            <v>nd</v>
          </cell>
          <cell r="AZ149" t="str">
            <v>nd</v>
          </cell>
          <cell r="BA149">
            <v>2.6</v>
          </cell>
          <cell r="BB149">
            <v>4.8</v>
          </cell>
          <cell r="BC149">
            <v>43.8</v>
          </cell>
          <cell r="BD149">
            <v>48</v>
          </cell>
          <cell r="BE149">
            <v>0</v>
          </cell>
          <cell r="BF149">
            <v>0</v>
          </cell>
          <cell r="BG149">
            <v>0</v>
          </cell>
          <cell r="BH149">
            <v>1.0999999999999999</v>
          </cell>
          <cell r="BI149">
            <v>40.799999999999997</v>
          </cell>
          <cell r="BJ149">
            <v>58.099999999999994</v>
          </cell>
          <cell r="BK149">
            <v>0</v>
          </cell>
          <cell r="BL149">
            <v>0</v>
          </cell>
          <cell r="BM149" t="str">
            <v>nd</v>
          </cell>
          <cell r="BN149">
            <v>20.599999999999998</v>
          </cell>
          <cell r="BO149">
            <v>65.5</v>
          </cell>
          <cell r="BP149">
            <v>13.5</v>
          </cell>
          <cell r="BQ149">
            <v>0</v>
          </cell>
          <cell r="BR149" t="str">
            <v>nd</v>
          </cell>
          <cell r="BS149">
            <v>1.4000000000000001</v>
          </cell>
          <cell r="BT149">
            <v>17.299999999999997</v>
          </cell>
          <cell r="BU149">
            <v>69.199999999999989</v>
          </cell>
          <cell r="BV149">
            <v>11.4</v>
          </cell>
          <cell r="BW149">
            <v>0</v>
          </cell>
          <cell r="BX149">
            <v>0</v>
          </cell>
          <cell r="BY149">
            <v>0</v>
          </cell>
          <cell r="BZ149">
            <v>0</v>
          </cell>
          <cell r="CA149" t="str">
            <v>nd</v>
          </cell>
          <cell r="CB149">
            <v>99.7</v>
          </cell>
          <cell r="CC149">
            <v>21.7</v>
          </cell>
          <cell r="CD149">
            <v>9.7000000000000011</v>
          </cell>
          <cell r="CE149">
            <v>3.9</v>
          </cell>
          <cell r="CF149">
            <v>2.7</v>
          </cell>
          <cell r="CG149">
            <v>0.89999999999999991</v>
          </cell>
          <cell r="CH149">
            <v>8.1</v>
          </cell>
          <cell r="CI149">
            <v>7.7</v>
          </cell>
          <cell r="CJ149">
            <v>63.5</v>
          </cell>
          <cell r="CK149">
            <v>32.5</v>
          </cell>
          <cell r="CL149">
            <v>4.9000000000000004</v>
          </cell>
          <cell r="CM149">
            <v>9</v>
          </cell>
          <cell r="CN149">
            <v>1.4000000000000001</v>
          </cell>
          <cell r="CO149">
            <v>61</v>
          </cell>
          <cell r="CP149">
            <v>19.2</v>
          </cell>
          <cell r="CQ149">
            <v>29.299999999999997</v>
          </cell>
          <cell r="CR149">
            <v>12.9</v>
          </cell>
          <cell r="CS149">
            <v>38.6</v>
          </cell>
          <cell r="CT149">
            <v>34</v>
          </cell>
          <cell r="CU149">
            <v>66</v>
          </cell>
          <cell r="CV149">
            <v>21.6</v>
          </cell>
          <cell r="CW149">
            <v>78.400000000000006</v>
          </cell>
          <cell r="CX149">
            <v>9</v>
          </cell>
          <cell r="CY149">
            <v>10.8</v>
          </cell>
          <cell r="CZ149">
            <v>80.2</v>
          </cell>
          <cell r="DA149" t="str">
            <v>nd</v>
          </cell>
          <cell r="DB149">
            <v>0</v>
          </cell>
          <cell r="DC149" t="str">
            <v>nd</v>
          </cell>
          <cell r="DD149">
            <v>0</v>
          </cell>
          <cell r="DE149">
            <v>88.9</v>
          </cell>
          <cell r="DF149">
            <v>23.5</v>
          </cell>
          <cell r="DG149">
            <v>12.1</v>
          </cell>
          <cell r="DH149">
            <v>26.6</v>
          </cell>
          <cell r="DI149">
            <v>11.899999999999999</v>
          </cell>
          <cell r="DJ149">
            <v>7.5</v>
          </cell>
          <cell r="DK149">
            <v>18.399999999999999</v>
          </cell>
          <cell r="DL149">
            <v>21.7</v>
          </cell>
          <cell r="DM149">
            <v>11.5</v>
          </cell>
          <cell r="DN149">
            <v>16.5</v>
          </cell>
          <cell r="DO149">
            <v>30.9</v>
          </cell>
          <cell r="DP149">
            <v>4.8</v>
          </cell>
          <cell r="DQ149">
            <v>2.7</v>
          </cell>
          <cell r="DR149">
            <v>11.600000000000001</v>
          </cell>
          <cell r="DS149">
            <v>20.100000000000001</v>
          </cell>
          <cell r="DT149">
            <v>27.3</v>
          </cell>
          <cell r="DU149">
            <v>0</v>
          </cell>
          <cell r="DV149">
            <v>0</v>
          </cell>
          <cell r="DW149">
            <v>0</v>
          </cell>
          <cell r="DX149">
            <v>0</v>
          </cell>
          <cell r="DY149">
            <v>0</v>
          </cell>
          <cell r="DZ149">
            <v>8.4814658999999999</v>
          </cell>
          <cell r="EA149">
            <v>0.66141300000000003</v>
          </cell>
          <cell r="EB149" t="str">
            <v>nd</v>
          </cell>
          <cell r="EC149">
            <v>0</v>
          </cell>
          <cell r="ED149">
            <v>0</v>
          </cell>
          <cell r="EE149" t="str">
            <v>nd</v>
          </cell>
          <cell r="EF149">
            <v>22.8419673</v>
          </cell>
          <cell r="EG149">
            <v>3.60378</v>
          </cell>
          <cell r="EH149">
            <v>0</v>
          </cell>
          <cell r="EI149">
            <v>0</v>
          </cell>
          <cell r="EJ149" t="str">
            <v>nd</v>
          </cell>
          <cell r="EK149">
            <v>2.3021699999999998</v>
          </cell>
          <cell r="EL149">
            <v>37.267791099999997</v>
          </cell>
          <cell r="EM149">
            <v>3.6790499999999997</v>
          </cell>
          <cell r="EN149" t="str">
            <v>nd</v>
          </cell>
          <cell r="EO149">
            <v>0</v>
          </cell>
          <cell r="EP149" t="str">
            <v>nd</v>
          </cell>
          <cell r="EQ149">
            <v>2.83975</v>
          </cell>
          <cell r="ER149">
            <v>13.515447200000001</v>
          </cell>
          <cell r="ES149">
            <v>1.3670800000000001</v>
          </cell>
          <cell r="ET149" t="str">
            <v>nd</v>
          </cell>
          <cell r="EU149">
            <v>0</v>
          </cell>
          <cell r="EV149" t="str">
            <v>nd</v>
          </cell>
          <cell r="EW149">
            <v>0.90544999999999998</v>
          </cell>
          <cell r="EX149">
            <v>0</v>
          </cell>
          <cell r="EY149">
            <v>0</v>
          </cell>
          <cell r="EZ149">
            <v>0</v>
          </cell>
          <cell r="FA149">
            <v>0</v>
          </cell>
          <cell r="FB149">
            <v>0</v>
          </cell>
          <cell r="FC149">
            <v>0</v>
          </cell>
          <cell r="FD149">
            <v>0</v>
          </cell>
          <cell r="FE149">
            <v>0</v>
          </cell>
          <cell r="FF149" t="str">
            <v>nd</v>
          </cell>
          <cell r="FG149">
            <v>5.2220599999999999</v>
          </cell>
          <cell r="FH149">
            <v>4.0870100000000003</v>
          </cell>
          <cell r="FI149">
            <v>0</v>
          </cell>
          <cell r="FJ149" t="str">
            <v>nd</v>
          </cell>
          <cell r="FK149" t="str">
            <v>nd</v>
          </cell>
          <cell r="FL149">
            <v>0.99171999999999993</v>
          </cell>
          <cell r="FM149">
            <v>13.437780299999998</v>
          </cell>
          <cell r="FN149">
            <v>14.282323099999999</v>
          </cell>
          <cell r="FO149" t="str">
            <v>nd</v>
          </cell>
          <cell r="FP149" t="str">
            <v>nd</v>
          </cell>
          <cell r="FQ149" t="str">
            <v>nd</v>
          </cell>
          <cell r="FR149">
            <v>1.8951800000000001</v>
          </cell>
          <cell r="FS149">
            <v>18.543454100000002</v>
          </cell>
          <cell r="FT149">
            <v>22.513632699999999</v>
          </cell>
          <cell r="FU149">
            <v>0</v>
          </cell>
          <cell r="FV149">
            <v>0</v>
          </cell>
          <cell r="FW149">
            <v>0</v>
          </cell>
          <cell r="FX149">
            <v>1.4108000000000001</v>
          </cell>
          <cell r="FY149">
            <v>6.2194500000000001</v>
          </cell>
          <cell r="FZ149">
            <v>7.3784035999999995</v>
          </cell>
          <cell r="GA149">
            <v>0</v>
          </cell>
          <cell r="GB149">
            <v>0</v>
          </cell>
          <cell r="GC149">
            <v>0</v>
          </cell>
          <cell r="GD149">
            <v>0</v>
          </cell>
          <cell r="GE149">
            <v>0</v>
          </cell>
          <cell r="GF149">
            <v>0</v>
          </cell>
          <cell r="GG149">
            <v>0</v>
          </cell>
          <cell r="GH149">
            <v>0</v>
          </cell>
          <cell r="GI149">
            <v>0</v>
          </cell>
          <cell r="GJ149">
            <v>4.01389</v>
          </cell>
          <cell r="GK149">
            <v>5.9532500000000006</v>
          </cell>
          <cell r="GL149">
            <v>0</v>
          </cell>
          <cell r="GM149">
            <v>0</v>
          </cell>
          <cell r="GN149">
            <v>0</v>
          </cell>
          <cell r="GO149" t="str">
            <v>nd</v>
          </cell>
          <cell r="GP149">
            <v>14.353889000000001</v>
          </cell>
          <cell r="GQ149">
            <v>15.2103971</v>
          </cell>
          <cell r="GR149">
            <v>0</v>
          </cell>
          <cell r="GS149">
            <v>0</v>
          </cell>
          <cell r="GT149">
            <v>0</v>
          </cell>
          <cell r="GU149" t="str">
            <v>nd</v>
          </cell>
          <cell r="GV149">
            <v>14.6102496</v>
          </cell>
          <cell r="GW149">
            <v>28.877544799999999</v>
          </cell>
          <cell r="GX149">
            <v>0</v>
          </cell>
          <cell r="GY149">
            <v>0</v>
          </cell>
          <cell r="GZ149">
            <v>0</v>
          </cell>
          <cell r="HA149">
            <v>0</v>
          </cell>
          <cell r="HB149">
            <v>7.6156206000000006</v>
          </cell>
          <cell r="HC149">
            <v>8.2252331999999999</v>
          </cell>
          <cell r="HD149">
            <v>0</v>
          </cell>
          <cell r="HE149">
            <v>0</v>
          </cell>
          <cell r="HF149">
            <v>0</v>
          </cell>
          <cell r="HG149">
            <v>0</v>
          </cell>
          <cell r="HH149">
            <v>0</v>
          </cell>
          <cell r="HI149">
            <v>0</v>
          </cell>
          <cell r="HJ149">
            <v>0</v>
          </cell>
          <cell r="HK149" t="str">
            <v>nd</v>
          </cell>
          <cell r="HL149">
            <v>3.0482100000000001</v>
          </cell>
          <cell r="HM149">
            <v>5.8425500000000001</v>
          </cell>
          <cell r="HN149">
            <v>0.73169099999999998</v>
          </cell>
          <cell r="HO149">
            <v>0</v>
          </cell>
          <cell r="HP149">
            <v>0</v>
          </cell>
          <cell r="HQ149">
            <v>0</v>
          </cell>
          <cell r="HR149">
            <v>7.4375278000000007</v>
          </cell>
          <cell r="HS149">
            <v>18.336781999999999</v>
          </cell>
          <cell r="HT149">
            <v>4.0255299999999998</v>
          </cell>
          <cell r="HU149">
            <v>0</v>
          </cell>
          <cell r="HV149">
            <v>0</v>
          </cell>
          <cell r="HW149">
            <v>0</v>
          </cell>
          <cell r="HX149">
            <v>7.5670603000000005</v>
          </cell>
          <cell r="HY149">
            <v>30.7821313</v>
          </cell>
          <cell r="HZ149">
            <v>7.6570263000000001</v>
          </cell>
          <cell r="IA149">
            <v>0</v>
          </cell>
          <cell r="IB149">
            <v>0</v>
          </cell>
          <cell r="IC149" t="str">
            <v>nd</v>
          </cell>
          <cell r="ID149">
            <v>2.7566999999999999</v>
          </cell>
          <cell r="IE149">
            <v>10.315323699999999</v>
          </cell>
          <cell r="IF149">
            <v>1.1037399999999999</v>
          </cell>
          <cell r="IG149">
            <v>0</v>
          </cell>
          <cell r="IH149">
            <v>0</v>
          </cell>
          <cell r="II149">
            <v>0</v>
          </cell>
          <cell r="IJ149">
            <v>0</v>
          </cell>
          <cell r="IK149">
            <v>0</v>
          </cell>
          <cell r="IL149">
            <v>0</v>
          </cell>
          <cell r="IM149">
            <v>0</v>
          </cell>
          <cell r="IN149" t="str">
            <v>nd</v>
          </cell>
          <cell r="IO149">
            <v>2.3867099999999999</v>
          </cell>
          <cell r="IP149">
            <v>6.4541591999999994</v>
          </cell>
          <cell r="IQ149">
            <v>1.12619</v>
          </cell>
          <cell r="IR149">
            <v>0</v>
          </cell>
          <cell r="IS149" t="str">
            <v>nd</v>
          </cell>
          <cell r="IT149" t="str">
            <v>nd</v>
          </cell>
          <cell r="IU149">
            <v>6.1735600000000002</v>
          </cell>
          <cell r="IV149">
            <v>20.423905999999999</v>
          </cell>
          <cell r="IW149">
            <v>2.3005800000000001</v>
          </cell>
          <cell r="IX149">
            <v>0</v>
          </cell>
          <cell r="IY149">
            <v>0</v>
          </cell>
          <cell r="IZ149" t="str">
            <v>nd</v>
          </cell>
          <cell r="JA149">
            <v>6.2588477000000005</v>
          </cell>
          <cell r="JB149">
            <v>32.519789599999996</v>
          </cell>
          <cell r="JC149">
            <v>6.6557898000000009</v>
          </cell>
          <cell r="JD149">
            <v>0</v>
          </cell>
          <cell r="JE149" t="str">
            <v>nd</v>
          </cell>
          <cell r="JF149" t="str">
            <v>nd</v>
          </cell>
          <cell r="JG149">
            <v>2.70642</v>
          </cell>
          <cell r="JH149">
            <v>9.6217192000000011</v>
          </cell>
          <cell r="JI149">
            <v>1.3345100000000001</v>
          </cell>
          <cell r="JJ149">
            <v>0</v>
          </cell>
          <cell r="JK149">
            <v>0</v>
          </cell>
          <cell r="JL149">
            <v>0</v>
          </cell>
          <cell r="JM149">
            <v>0</v>
          </cell>
          <cell r="JN149">
            <v>0</v>
          </cell>
          <cell r="JO149">
            <v>0</v>
          </cell>
          <cell r="JP149">
            <v>0</v>
          </cell>
          <cell r="JQ149">
            <v>0</v>
          </cell>
          <cell r="JR149">
            <v>0</v>
          </cell>
          <cell r="JS149">
            <v>0</v>
          </cell>
          <cell r="JT149">
            <v>9.9293879</v>
          </cell>
          <cell r="JU149">
            <v>0</v>
          </cell>
          <cell r="JV149">
            <v>0</v>
          </cell>
          <cell r="JW149">
            <v>0</v>
          </cell>
          <cell r="JX149">
            <v>0</v>
          </cell>
          <cell r="JY149" t="str">
            <v>nd</v>
          </cell>
          <cell r="JZ149">
            <v>29.702076399999999</v>
          </cell>
          <cell r="KA149">
            <v>0</v>
          </cell>
          <cell r="KB149">
            <v>0</v>
          </cell>
          <cell r="KC149">
            <v>0</v>
          </cell>
          <cell r="KD149">
            <v>0</v>
          </cell>
          <cell r="KE149">
            <v>0</v>
          </cell>
          <cell r="KF149">
            <v>44.699580500000003</v>
          </cell>
          <cell r="KG149">
            <v>0</v>
          </cell>
          <cell r="KH149">
            <v>0</v>
          </cell>
          <cell r="KI149">
            <v>0</v>
          </cell>
          <cell r="KJ149">
            <v>0</v>
          </cell>
          <cell r="KK149" t="str">
            <v>nd</v>
          </cell>
          <cell r="KL149">
            <v>15.330399099999999</v>
          </cell>
          <cell r="KM149">
            <v>75.400000000000006</v>
          </cell>
          <cell r="KN149">
            <v>4.5</v>
          </cell>
          <cell r="KO149">
            <v>2.5</v>
          </cell>
          <cell r="KP149">
            <v>8.6999999999999993</v>
          </cell>
          <cell r="KQ149">
            <v>8.7999999999999989</v>
          </cell>
          <cell r="KR149">
            <v>0</v>
          </cell>
          <cell r="KS149">
            <v>73.5</v>
          </cell>
          <cell r="KT149">
            <v>4.5999999999999996</v>
          </cell>
          <cell r="KU149">
            <v>2.5</v>
          </cell>
          <cell r="KV149">
            <v>9.8000000000000007</v>
          </cell>
          <cell r="KW149">
            <v>9.6</v>
          </cell>
          <cell r="KX149">
            <v>0</v>
          </cell>
          <cell r="KY149"/>
          <cell r="KZ149"/>
          <cell r="LA149"/>
          <cell r="LB149"/>
          <cell r="LC149"/>
          <cell r="LD149"/>
          <cell r="LE149"/>
          <cell r="LF149"/>
          <cell r="LG149"/>
          <cell r="LH149"/>
          <cell r="LI149"/>
          <cell r="LJ149"/>
          <cell r="LK149"/>
          <cell r="LL149"/>
          <cell r="LM149"/>
          <cell r="LN149"/>
          <cell r="LO149"/>
        </row>
        <row r="150">
          <cell r="A150" t="str">
            <v>EnsQB</v>
          </cell>
          <cell r="B150" t="str">
            <v>150</v>
          </cell>
          <cell r="C150" t="str">
            <v>NAF 38</v>
          </cell>
          <cell r="D150" t="str">
            <v>QB</v>
          </cell>
          <cell r="E150" t="str">
            <v/>
          </cell>
          <cell r="F150">
            <v>0.4</v>
          </cell>
          <cell r="G150">
            <v>5.2</v>
          </cell>
          <cell r="H150">
            <v>34.4</v>
          </cell>
          <cell r="I150">
            <v>48.6</v>
          </cell>
          <cell r="J150">
            <v>11.3</v>
          </cell>
          <cell r="K150">
            <v>49.4</v>
          </cell>
          <cell r="L150">
            <v>19.5</v>
          </cell>
          <cell r="M150">
            <v>5.8999999999999995</v>
          </cell>
          <cell r="N150">
            <v>25.2</v>
          </cell>
          <cell r="O150">
            <v>21.7</v>
          </cell>
          <cell r="P150">
            <v>49.6</v>
          </cell>
          <cell r="Q150">
            <v>8.7999999999999989</v>
          </cell>
          <cell r="R150">
            <v>5.6000000000000005</v>
          </cell>
          <cell r="S150">
            <v>32.9</v>
          </cell>
          <cell r="T150">
            <v>16.3</v>
          </cell>
          <cell r="U150">
            <v>4.1000000000000005</v>
          </cell>
          <cell r="V150">
            <v>21.4</v>
          </cell>
          <cell r="W150">
            <v>8.2000000000000011</v>
          </cell>
          <cell r="X150">
            <v>82.899999999999991</v>
          </cell>
          <cell r="Y150">
            <v>8.9</v>
          </cell>
          <cell r="Z150">
            <v>3.9</v>
          </cell>
          <cell r="AA150">
            <v>52.6</v>
          </cell>
          <cell r="AB150">
            <v>5.3</v>
          </cell>
          <cell r="AC150">
            <v>40.799999999999997</v>
          </cell>
          <cell r="AD150">
            <v>23.7</v>
          </cell>
          <cell r="AE150">
            <v>46.800000000000004</v>
          </cell>
          <cell r="AF150">
            <v>53.2</v>
          </cell>
          <cell r="AG150">
            <v>82.899999999999991</v>
          </cell>
          <cell r="AH150">
            <v>17.100000000000001</v>
          </cell>
          <cell r="AI150">
            <v>19.7</v>
          </cell>
          <cell r="AJ150">
            <v>7.5</v>
          </cell>
          <cell r="AK150">
            <v>2.8000000000000003</v>
          </cell>
          <cell r="AL150">
            <v>65.100000000000009</v>
          </cell>
          <cell r="AM150">
            <v>4.9000000000000004</v>
          </cell>
          <cell r="AN150">
            <v>2.4</v>
          </cell>
          <cell r="AO150">
            <v>1.0999999999999999</v>
          </cell>
          <cell r="AP150">
            <v>2.4</v>
          </cell>
          <cell r="AQ150">
            <v>82.8</v>
          </cell>
          <cell r="AR150">
            <v>11.4</v>
          </cell>
          <cell r="AS150">
            <v>81.3</v>
          </cell>
          <cell r="AT150">
            <v>10.6</v>
          </cell>
          <cell r="AU150">
            <v>2.2999999999999998</v>
          </cell>
          <cell r="AV150">
            <v>1.2</v>
          </cell>
          <cell r="AW150">
            <v>0.89999999999999991</v>
          </cell>
          <cell r="AX150">
            <v>3.8</v>
          </cell>
          <cell r="AY150">
            <v>1.4000000000000001</v>
          </cell>
          <cell r="AZ150">
            <v>1.7000000000000002</v>
          </cell>
          <cell r="BA150">
            <v>1.7000000000000002</v>
          </cell>
          <cell r="BB150">
            <v>6.7</v>
          </cell>
          <cell r="BC150">
            <v>34</v>
          </cell>
          <cell r="BD150">
            <v>54.400000000000006</v>
          </cell>
          <cell r="BE150">
            <v>0.5</v>
          </cell>
          <cell r="BF150">
            <v>0.2</v>
          </cell>
          <cell r="BG150">
            <v>0.8</v>
          </cell>
          <cell r="BH150">
            <v>3.6999999999999997</v>
          </cell>
          <cell r="BI150">
            <v>34.4</v>
          </cell>
          <cell r="BJ150">
            <v>60.4</v>
          </cell>
          <cell r="BK150">
            <v>0</v>
          </cell>
          <cell r="BL150">
            <v>0.1</v>
          </cell>
          <cell r="BM150">
            <v>1.4000000000000001</v>
          </cell>
          <cell r="BN150">
            <v>20</v>
          </cell>
          <cell r="BO150">
            <v>64.400000000000006</v>
          </cell>
          <cell r="BP150">
            <v>14.2</v>
          </cell>
          <cell r="BQ150" t="str">
            <v>nd</v>
          </cell>
          <cell r="BR150">
            <v>0.2</v>
          </cell>
          <cell r="BS150">
            <v>1.3</v>
          </cell>
          <cell r="BT150">
            <v>13.100000000000001</v>
          </cell>
          <cell r="BU150">
            <v>63.2</v>
          </cell>
          <cell r="BV150">
            <v>22.1</v>
          </cell>
          <cell r="BW150">
            <v>0</v>
          </cell>
          <cell r="BX150">
            <v>0</v>
          </cell>
          <cell r="BY150">
            <v>0</v>
          </cell>
          <cell r="BZ150" t="str">
            <v>nd</v>
          </cell>
          <cell r="CA150">
            <v>0.4</v>
          </cell>
          <cell r="CB150">
            <v>99.5</v>
          </cell>
          <cell r="CC150">
            <v>22.3</v>
          </cell>
          <cell r="CD150">
            <v>7.0000000000000009</v>
          </cell>
          <cell r="CE150">
            <v>1.7999999999999998</v>
          </cell>
          <cell r="CF150">
            <v>2.6</v>
          </cell>
          <cell r="CG150">
            <v>0.70000000000000007</v>
          </cell>
          <cell r="CH150">
            <v>11.200000000000001</v>
          </cell>
          <cell r="CI150">
            <v>10.100000000000001</v>
          </cell>
          <cell r="CJ150">
            <v>62.3</v>
          </cell>
          <cell r="CK150">
            <v>18.600000000000001</v>
          </cell>
          <cell r="CL150">
            <v>4.8</v>
          </cell>
          <cell r="CM150">
            <v>7.3999999999999995</v>
          </cell>
          <cell r="CN150">
            <v>3.9</v>
          </cell>
          <cell r="CO150">
            <v>75.099999999999994</v>
          </cell>
          <cell r="CP150">
            <v>22</v>
          </cell>
          <cell r="CQ150">
            <v>26.1</v>
          </cell>
          <cell r="CR150">
            <v>13.700000000000001</v>
          </cell>
          <cell r="CS150">
            <v>38.200000000000003</v>
          </cell>
          <cell r="CT150">
            <v>31.2</v>
          </cell>
          <cell r="CU150">
            <v>68.8</v>
          </cell>
          <cell r="CV150">
            <v>22.5</v>
          </cell>
          <cell r="CW150">
            <v>77.5</v>
          </cell>
          <cell r="CX150">
            <v>11.799999999999999</v>
          </cell>
          <cell r="CY150">
            <v>15.299999999999999</v>
          </cell>
          <cell r="CZ150">
            <v>72.899999999999991</v>
          </cell>
          <cell r="DA150">
            <v>10.199999999999999</v>
          </cell>
          <cell r="DB150">
            <v>6.5</v>
          </cell>
          <cell r="DC150">
            <v>15.7</v>
          </cell>
          <cell r="DD150" t="str">
            <v>nd</v>
          </cell>
          <cell r="DE150">
            <v>74.099999999999994</v>
          </cell>
          <cell r="DF150">
            <v>24.099999999999998</v>
          </cell>
          <cell r="DG150">
            <v>12.2</v>
          </cell>
          <cell r="DH150">
            <v>29.599999999999998</v>
          </cell>
          <cell r="DI150">
            <v>8.6999999999999993</v>
          </cell>
          <cell r="DJ150">
            <v>6.8000000000000007</v>
          </cell>
          <cell r="DK150">
            <v>18.600000000000001</v>
          </cell>
          <cell r="DL150">
            <v>21.099999999999998</v>
          </cell>
          <cell r="DM150">
            <v>16.900000000000002</v>
          </cell>
          <cell r="DN150">
            <v>21.7</v>
          </cell>
          <cell r="DO150">
            <v>40.5</v>
          </cell>
          <cell r="DP150">
            <v>7.5</v>
          </cell>
          <cell r="DQ150">
            <v>1.5</v>
          </cell>
          <cell r="DR150">
            <v>4.3</v>
          </cell>
          <cell r="DS150">
            <v>18.8</v>
          </cell>
          <cell r="DT150">
            <v>18.099999999999998</v>
          </cell>
          <cell r="DU150">
            <v>0.34204800000000002</v>
          </cell>
          <cell r="DV150">
            <v>0</v>
          </cell>
          <cell r="DW150">
            <v>0</v>
          </cell>
          <cell r="DX150">
            <v>0</v>
          </cell>
          <cell r="DY150" t="str">
            <v>nd</v>
          </cell>
          <cell r="DZ150">
            <v>2.9148299999999998</v>
          </cell>
          <cell r="EA150">
            <v>1.2675399999999999</v>
          </cell>
          <cell r="EB150">
            <v>0.32289200000000001</v>
          </cell>
          <cell r="EC150">
            <v>0.297294</v>
          </cell>
          <cell r="ED150" t="str">
            <v>nd</v>
          </cell>
          <cell r="EE150">
            <v>0.24906300000000001</v>
          </cell>
          <cell r="EF150">
            <v>26.5776878</v>
          </cell>
          <cell r="EG150">
            <v>5.7113200000000006</v>
          </cell>
          <cell r="EH150">
            <v>0.98026000000000002</v>
          </cell>
          <cell r="EI150">
            <v>0.310888</v>
          </cell>
          <cell r="EJ150">
            <v>0.179337</v>
          </cell>
          <cell r="EK150">
            <v>0.71379099999999995</v>
          </cell>
          <cell r="EL150">
            <v>41.619913199999999</v>
          </cell>
          <cell r="EM150">
            <v>3.1267299999999998</v>
          </cell>
          <cell r="EN150">
            <v>0.8852000000000001</v>
          </cell>
          <cell r="EO150">
            <v>0.53157900000000002</v>
          </cell>
          <cell r="EP150">
            <v>0.54707000000000006</v>
          </cell>
          <cell r="EQ150">
            <v>1.85402</v>
          </cell>
          <cell r="ER150">
            <v>9.7621982999999997</v>
          </cell>
          <cell r="ES150">
            <v>0.55388399999999993</v>
          </cell>
          <cell r="ET150" t="str">
            <v>nd</v>
          </cell>
          <cell r="EU150" t="str">
            <v>nd</v>
          </cell>
          <cell r="EV150" t="str">
            <v>nd</v>
          </cell>
          <cell r="EW150">
            <v>0.89581999999999995</v>
          </cell>
          <cell r="EX150">
            <v>0</v>
          </cell>
          <cell r="EY150" t="str">
            <v>nd</v>
          </cell>
          <cell r="EZ150">
            <v>0</v>
          </cell>
          <cell r="FA150" t="str">
            <v>nd</v>
          </cell>
          <cell r="FB150">
            <v>0.25469700000000001</v>
          </cell>
          <cell r="FC150" t="str">
            <v>nd</v>
          </cell>
          <cell r="FD150" t="str">
            <v>nd</v>
          </cell>
          <cell r="FE150" t="str">
            <v>nd</v>
          </cell>
          <cell r="FF150">
            <v>0.627112</v>
          </cell>
          <cell r="FG150">
            <v>1.6379999999999999</v>
          </cell>
          <cell r="FH150">
            <v>2.9036300000000002</v>
          </cell>
          <cell r="FI150">
            <v>0.38197900000000001</v>
          </cell>
          <cell r="FJ150">
            <v>0.523559</v>
          </cell>
          <cell r="FK150">
            <v>0.54905800000000005</v>
          </cell>
          <cell r="FL150">
            <v>3.1633599999999999</v>
          </cell>
          <cell r="FM150">
            <v>14.227284300000001</v>
          </cell>
          <cell r="FN150">
            <v>15.200012199999998</v>
          </cell>
          <cell r="FO150">
            <v>0.90332000000000001</v>
          </cell>
          <cell r="FP150">
            <v>0.75597399999999992</v>
          </cell>
          <cell r="FQ150">
            <v>0.93346999999999991</v>
          </cell>
          <cell r="FR150">
            <v>2.5961099999999999</v>
          </cell>
          <cell r="FS150">
            <v>14.4179592</v>
          </cell>
          <cell r="FT150">
            <v>28.940990300000003</v>
          </cell>
          <cell r="FU150" t="str">
            <v>nd</v>
          </cell>
          <cell r="FV150">
            <v>0.32591199999999998</v>
          </cell>
          <cell r="FW150" t="str">
            <v>nd</v>
          </cell>
          <cell r="FX150">
            <v>0.30203099999999999</v>
          </cell>
          <cell r="FY150">
            <v>3.6119199999999996</v>
          </cell>
          <cell r="FZ150">
            <v>7.1160403999999993</v>
          </cell>
          <cell r="GA150">
            <v>0</v>
          </cell>
          <cell r="GB150" t="str">
            <v>nd</v>
          </cell>
          <cell r="GC150">
            <v>0</v>
          </cell>
          <cell r="GD150" t="str">
            <v>nd</v>
          </cell>
          <cell r="GE150">
            <v>0.31127899999999997</v>
          </cell>
          <cell r="GF150" t="str">
            <v>nd</v>
          </cell>
          <cell r="GG150" t="str">
            <v>nd</v>
          </cell>
          <cell r="GH150">
            <v>0.14871999999999999</v>
          </cell>
          <cell r="GI150">
            <v>0.63190499999999994</v>
          </cell>
          <cell r="GJ150">
            <v>1.29325</v>
          </cell>
          <cell r="GK150">
            <v>2.9196599999999999</v>
          </cell>
          <cell r="GL150" t="str">
            <v>nd</v>
          </cell>
          <cell r="GM150" t="str">
            <v>nd</v>
          </cell>
          <cell r="GN150">
            <v>0.67857900000000004</v>
          </cell>
          <cell r="GO150">
            <v>1.9742</v>
          </cell>
          <cell r="GP150">
            <v>16.413211199999999</v>
          </cell>
          <cell r="GQ150">
            <v>14.734145400000001</v>
          </cell>
          <cell r="GR150" t="str">
            <v>nd</v>
          </cell>
          <cell r="GS150">
            <v>0</v>
          </cell>
          <cell r="GT150">
            <v>0</v>
          </cell>
          <cell r="GU150">
            <v>0.88273999999999986</v>
          </cell>
          <cell r="GV150">
            <v>12.515298599999999</v>
          </cell>
          <cell r="GW150">
            <v>35.128009800000001</v>
          </cell>
          <cell r="GX150" t="str">
            <v>nd</v>
          </cell>
          <cell r="GY150" t="str">
            <v>nd</v>
          </cell>
          <cell r="GZ150">
            <v>0</v>
          </cell>
          <cell r="HA150">
            <v>0.14844599999999999</v>
          </cell>
          <cell r="HB150">
            <v>4.0591900000000001</v>
          </cell>
          <cell r="HC150">
            <v>7.3746276000000002</v>
          </cell>
          <cell r="HD150">
            <v>0</v>
          </cell>
          <cell r="HE150">
            <v>0.19129599999999999</v>
          </cell>
          <cell r="HF150">
            <v>0</v>
          </cell>
          <cell r="HG150">
            <v>0</v>
          </cell>
          <cell r="HH150">
            <v>0.253166</v>
          </cell>
          <cell r="HI150">
            <v>0</v>
          </cell>
          <cell r="HJ150">
            <v>0</v>
          </cell>
          <cell r="HK150">
            <v>0</v>
          </cell>
          <cell r="HL150">
            <v>0.91112999999999988</v>
          </cell>
          <cell r="HM150">
            <v>3.0331399999999999</v>
          </cell>
          <cell r="HN150">
            <v>1.3143400000000001</v>
          </cell>
          <cell r="HO150">
            <v>0</v>
          </cell>
          <cell r="HP150">
            <v>0</v>
          </cell>
          <cell r="HQ150">
            <v>0.597715</v>
          </cell>
          <cell r="HR150">
            <v>7.3872616999999998</v>
          </cell>
          <cell r="HS150">
            <v>21.9647723</v>
          </cell>
          <cell r="HT150">
            <v>4.2029499999999995</v>
          </cell>
          <cell r="HU150">
            <v>0</v>
          </cell>
          <cell r="HV150">
            <v>0</v>
          </cell>
          <cell r="HW150">
            <v>0.70871899999999999</v>
          </cell>
          <cell r="HX150">
            <v>9.4225301999999989</v>
          </cell>
          <cell r="HY150">
            <v>31.385702999999999</v>
          </cell>
          <cell r="HZ150">
            <v>7.2130266000000001</v>
          </cell>
          <cell r="IA150">
            <v>0</v>
          </cell>
          <cell r="IB150">
            <v>9.1418100000000002E-2</v>
          </cell>
          <cell r="IC150" t="str">
            <v>nd</v>
          </cell>
          <cell r="ID150">
            <v>2.33996</v>
          </cell>
          <cell r="IE150">
            <v>7.7275676999999998</v>
          </cell>
          <cell r="IF150">
            <v>1.2041299999999999</v>
          </cell>
          <cell r="IG150">
            <v>0</v>
          </cell>
          <cell r="IH150" t="str">
            <v>nd</v>
          </cell>
          <cell r="II150">
            <v>0</v>
          </cell>
          <cell r="IJ150">
            <v>0</v>
          </cell>
          <cell r="IK150">
            <v>0.34628900000000001</v>
          </cell>
          <cell r="IL150">
            <v>0</v>
          </cell>
          <cell r="IM150" t="str">
            <v>nd</v>
          </cell>
          <cell r="IN150" t="str">
            <v>nd</v>
          </cell>
          <cell r="IO150">
            <v>0.62118700000000004</v>
          </cell>
          <cell r="IP150">
            <v>1.87469</v>
          </cell>
          <cell r="IQ150">
            <v>2.4877699999999998</v>
          </cell>
          <cell r="IR150">
            <v>0</v>
          </cell>
          <cell r="IS150" t="str">
            <v>nd</v>
          </cell>
          <cell r="IT150">
            <v>0.45397700000000002</v>
          </cell>
          <cell r="IU150">
            <v>3.3430599999999999</v>
          </cell>
          <cell r="IV150">
            <v>21.661899000000002</v>
          </cell>
          <cell r="IW150">
            <v>8.6469209000000014</v>
          </cell>
          <cell r="IX150" t="str">
            <v>nd</v>
          </cell>
          <cell r="IY150" t="str">
            <v>nd</v>
          </cell>
          <cell r="IZ150">
            <v>0.52593999999999996</v>
          </cell>
          <cell r="JA150">
            <v>6.7145106999999999</v>
          </cell>
          <cell r="JB150">
            <v>32.2302423</v>
          </cell>
          <cell r="JC150">
            <v>9.0610064999999995</v>
          </cell>
          <cell r="JD150">
            <v>0</v>
          </cell>
          <cell r="JE150">
            <v>0</v>
          </cell>
          <cell r="JF150" t="str">
            <v>nd</v>
          </cell>
          <cell r="JG150">
            <v>2.40029</v>
          </cell>
          <cell r="JH150">
            <v>7.2762120999999995</v>
          </cell>
          <cell r="JI150">
            <v>1.6541400000000002</v>
          </cell>
          <cell r="JJ150">
            <v>0</v>
          </cell>
          <cell r="JK150">
            <v>0</v>
          </cell>
          <cell r="JL150">
            <v>0</v>
          </cell>
          <cell r="JM150">
            <v>0</v>
          </cell>
          <cell r="JN150">
            <v>0.46005600000000002</v>
          </cell>
          <cell r="JO150">
            <v>0</v>
          </cell>
          <cell r="JP150">
            <v>0</v>
          </cell>
          <cell r="JQ150">
            <v>0</v>
          </cell>
          <cell r="JR150">
            <v>0</v>
          </cell>
          <cell r="JS150">
            <v>0</v>
          </cell>
          <cell r="JT150">
            <v>5.3521799999999997</v>
          </cell>
          <cell r="JU150">
            <v>0</v>
          </cell>
          <cell r="JV150">
            <v>0</v>
          </cell>
          <cell r="JW150">
            <v>0</v>
          </cell>
          <cell r="JX150" t="str">
            <v>nd</v>
          </cell>
          <cell r="JY150">
            <v>0.29237299999999999</v>
          </cell>
          <cell r="JZ150">
            <v>33.777992099999999</v>
          </cell>
          <cell r="KA150">
            <v>0</v>
          </cell>
          <cell r="KB150">
            <v>0</v>
          </cell>
          <cell r="KC150">
            <v>0</v>
          </cell>
          <cell r="KD150">
            <v>0</v>
          </cell>
          <cell r="KE150">
            <v>0.136569</v>
          </cell>
          <cell r="KF150">
            <v>48.582633899999998</v>
          </cell>
          <cell r="KG150">
            <v>0</v>
          </cell>
          <cell r="KH150">
            <v>0</v>
          </cell>
          <cell r="KI150">
            <v>0</v>
          </cell>
          <cell r="KJ150">
            <v>0</v>
          </cell>
          <cell r="KK150">
            <v>0</v>
          </cell>
          <cell r="KL150">
            <v>11.3544453</v>
          </cell>
          <cell r="KM150">
            <v>75.900000000000006</v>
          </cell>
          <cell r="KN150">
            <v>5.4</v>
          </cell>
          <cell r="KO150">
            <v>3.5999999999999996</v>
          </cell>
          <cell r="KP150">
            <v>7.9</v>
          </cell>
          <cell r="KQ150">
            <v>7.1999999999999993</v>
          </cell>
          <cell r="KR150">
            <v>0</v>
          </cell>
          <cell r="KS150">
            <v>73.900000000000006</v>
          </cell>
          <cell r="KT150">
            <v>5.7</v>
          </cell>
          <cell r="KU150">
            <v>3.6999999999999997</v>
          </cell>
          <cell r="KV150">
            <v>8.9</v>
          </cell>
          <cell r="KW150">
            <v>7.8</v>
          </cell>
          <cell r="KX150">
            <v>0</v>
          </cell>
          <cell r="KY150"/>
          <cell r="KZ150"/>
          <cell r="LA150"/>
          <cell r="LB150"/>
          <cell r="LC150"/>
          <cell r="LD150"/>
          <cell r="LE150"/>
          <cell r="LF150"/>
          <cell r="LG150"/>
          <cell r="LH150"/>
          <cell r="LI150"/>
          <cell r="LJ150"/>
          <cell r="LK150"/>
          <cell r="LL150"/>
          <cell r="LM150"/>
          <cell r="LN150"/>
          <cell r="LO150"/>
        </row>
        <row r="151">
          <cell r="A151" t="str">
            <v>EnsRZ</v>
          </cell>
          <cell r="B151" t="str">
            <v>151</v>
          </cell>
          <cell r="C151" t="str">
            <v>NAF 38</v>
          </cell>
          <cell r="D151" t="str">
            <v>RZ</v>
          </cell>
          <cell r="E151" t="str">
            <v/>
          </cell>
          <cell r="F151">
            <v>15.9</v>
          </cell>
          <cell r="G151">
            <v>41.8</v>
          </cell>
          <cell r="H151">
            <v>26.400000000000002</v>
          </cell>
          <cell r="I151">
            <v>12.1</v>
          </cell>
          <cell r="J151">
            <v>3.8</v>
          </cell>
          <cell r="K151">
            <v>19</v>
          </cell>
          <cell r="L151">
            <v>69.899999999999991</v>
          </cell>
          <cell r="M151" t="str">
            <v>nd</v>
          </cell>
          <cell r="N151">
            <v>11</v>
          </cell>
          <cell r="O151">
            <v>44.7</v>
          </cell>
          <cell r="P151">
            <v>35.299999999999997</v>
          </cell>
          <cell r="Q151">
            <v>0.8</v>
          </cell>
          <cell r="R151">
            <v>2.7</v>
          </cell>
          <cell r="S151">
            <v>2.8000000000000003</v>
          </cell>
          <cell r="T151">
            <v>19.5</v>
          </cell>
          <cell r="U151">
            <v>39.5</v>
          </cell>
          <cell r="V151">
            <v>28.799999999999997</v>
          </cell>
          <cell r="W151">
            <v>22.400000000000002</v>
          </cell>
          <cell r="X151">
            <v>75.5</v>
          </cell>
          <cell r="Y151">
            <v>2.1</v>
          </cell>
          <cell r="Z151">
            <v>0</v>
          </cell>
          <cell r="AA151">
            <v>37.9</v>
          </cell>
          <cell r="AB151">
            <v>6.4</v>
          </cell>
          <cell r="AC151">
            <v>69.899999999999991</v>
          </cell>
          <cell r="AD151">
            <v>14.6</v>
          </cell>
          <cell r="AE151">
            <v>81.3</v>
          </cell>
          <cell r="AF151">
            <v>18.7</v>
          </cell>
          <cell r="AG151">
            <v>39.4</v>
          </cell>
          <cell r="AH151">
            <v>60.6</v>
          </cell>
          <cell r="AI151">
            <v>14.799999999999999</v>
          </cell>
          <cell r="AJ151">
            <v>66.600000000000009</v>
          </cell>
          <cell r="AK151">
            <v>2.6</v>
          </cell>
          <cell r="AL151">
            <v>9.4</v>
          </cell>
          <cell r="AM151">
            <v>6.7</v>
          </cell>
          <cell r="AN151">
            <v>6.1</v>
          </cell>
          <cell r="AO151">
            <v>5.0999999999999996</v>
          </cell>
          <cell r="AP151">
            <v>2.2999999999999998</v>
          </cell>
          <cell r="AQ151">
            <v>83.399999999999991</v>
          </cell>
          <cell r="AR151">
            <v>3.1</v>
          </cell>
          <cell r="AS151">
            <v>36.799999999999997</v>
          </cell>
          <cell r="AT151">
            <v>20.399999999999999</v>
          </cell>
          <cell r="AU151">
            <v>8.6</v>
          </cell>
          <cell r="AV151">
            <v>13.4</v>
          </cell>
          <cell r="AW151">
            <v>10.299999999999999</v>
          </cell>
          <cell r="AX151">
            <v>10.6</v>
          </cell>
          <cell r="AY151">
            <v>8.3000000000000007</v>
          </cell>
          <cell r="AZ151">
            <v>7.3</v>
          </cell>
          <cell r="BA151">
            <v>5.2</v>
          </cell>
          <cell r="BB151">
            <v>11.4</v>
          </cell>
          <cell r="BC151">
            <v>30.9</v>
          </cell>
          <cell r="BD151">
            <v>36.9</v>
          </cell>
          <cell r="BE151">
            <v>10.9</v>
          </cell>
          <cell r="BF151">
            <v>6.2</v>
          </cell>
          <cell r="BG151">
            <v>11.799999999999999</v>
          </cell>
          <cell r="BH151">
            <v>10.4</v>
          </cell>
          <cell r="BI151">
            <v>24.2</v>
          </cell>
          <cell r="BJ151">
            <v>36.6</v>
          </cell>
          <cell r="BK151">
            <v>0</v>
          </cell>
          <cell r="BL151">
            <v>0</v>
          </cell>
          <cell r="BM151" t="str">
            <v>nd</v>
          </cell>
          <cell r="BN151">
            <v>1.3</v>
          </cell>
          <cell r="BO151">
            <v>53.400000000000006</v>
          </cell>
          <cell r="BP151">
            <v>45</v>
          </cell>
          <cell r="BQ151" t="str">
            <v>nd</v>
          </cell>
          <cell r="BR151">
            <v>0.8</v>
          </cell>
          <cell r="BS151">
            <v>2</v>
          </cell>
          <cell r="BT151">
            <v>8.2000000000000011</v>
          </cell>
          <cell r="BU151">
            <v>44.5</v>
          </cell>
          <cell r="BV151">
            <v>43.8</v>
          </cell>
          <cell r="BW151">
            <v>0</v>
          </cell>
          <cell r="BX151">
            <v>0</v>
          </cell>
          <cell r="BY151">
            <v>0</v>
          </cell>
          <cell r="BZ151">
            <v>0</v>
          </cell>
          <cell r="CA151">
            <v>0.70000000000000007</v>
          </cell>
          <cell r="CB151">
            <v>99.3</v>
          </cell>
          <cell r="CC151">
            <v>3.6999999999999997</v>
          </cell>
          <cell r="CD151">
            <v>9</v>
          </cell>
          <cell r="CE151">
            <v>0</v>
          </cell>
          <cell r="CF151">
            <v>1.4000000000000001</v>
          </cell>
          <cell r="CG151">
            <v>0</v>
          </cell>
          <cell r="CH151">
            <v>21.3</v>
          </cell>
          <cell r="CI151">
            <v>8.7999999999999989</v>
          </cell>
          <cell r="CJ151">
            <v>72.8</v>
          </cell>
          <cell r="CK151">
            <v>29.4</v>
          </cell>
          <cell r="CL151">
            <v>4.3</v>
          </cell>
          <cell r="CM151">
            <v>1</v>
          </cell>
          <cell r="CN151">
            <v>0.4</v>
          </cell>
          <cell r="CO151">
            <v>68.400000000000006</v>
          </cell>
          <cell r="CP151">
            <v>15.8</v>
          </cell>
          <cell r="CQ151">
            <v>18.2</v>
          </cell>
          <cell r="CR151">
            <v>19</v>
          </cell>
          <cell r="CS151">
            <v>47</v>
          </cell>
          <cell r="CT151">
            <v>62.8</v>
          </cell>
          <cell r="CU151">
            <v>37.200000000000003</v>
          </cell>
          <cell r="CV151">
            <v>28.499999999999996</v>
          </cell>
          <cell r="CW151">
            <v>71.5</v>
          </cell>
          <cell r="CX151">
            <v>21.2</v>
          </cell>
          <cell r="CY151">
            <v>10.8</v>
          </cell>
          <cell r="CZ151">
            <v>68</v>
          </cell>
          <cell r="DA151">
            <v>34.4</v>
          </cell>
          <cell r="DB151">
            <v>0</v>
          </cell>
          <cell r="DC151">
            <v>0</v>
          </cell>
          <cell r="DD151">
            <v>0</v>
          </cell>
          <cell r="DE151">
            <v>68.8</v>
          </cell>
          <cell r="DF151">
            <v>2</v>
          </cell>
          <cell r="DG151">
            <v>12.8</v>
          </cell>
          <cell r="DH151">
            <v>15.7</v>
          </cell>
          <cell r="DI151">
            <v>20.3</v>
          </cell>
          <cell r="DJ151">
            <v>24.4</v>
          </cell>
          <cell r="DK151">
            <v>24.9</v>
          </cell>
          <cell r="DL151">
            <v>6.9</v>
          </cell>
          <cell r="DM151">
            <v>29.4</v>
          </cell>
          <cell r="DN151">
            <v>2.1999999999999997</v>
          </cell>
          <cell r="DO151">
            <v>60.4</v>
          </cell>
          <cell r="DP151">
            <v>6.7</v>
          </cell>
          <cell r="DQ151">
            <v>3.3000000000000003</v>
          </cell>
          <cell r="DR151">
            <v>2.1999999999999997</v>
          </cell>
          <cell r="DS151">
            <v>7.6</v>
          </cell>
          <cell r="DT151">
            <v>34.4</v>
          </cell>
          <cell r="DU151">
            <v>1.49343</v>
          </cell>
          <cell r="DV151">
            <v>3.9476900000000001</v>
          </cell>
          <cell r="DW151">
            <v>1.5877800000000002</v>
          </cell>
          <cell r="DX151">
            <v>1.29179</v>
          </cell>
          <cell r="DY151">
            <v>4.7163200000000005</v>
          </cell>
          <cell r="DZ151">
            <v>14.406944799999998</v>
          </cell>
          <cell r="EA151">
            <v>7.3769349999999996</v>
          </cell>
          <cell r="EB151">
            <v>4.91934</v>
          </cell>
          <cell r="EC151">
            <v>7.7299159000000008</v>
          </cell>
          <cell r="ED151">
            <v>3.82578</v>
          </cell>
          <cell r="EE151">
            <v>4.2625999999999999</v>
          </cell>
          <cell r="EF151">
            <v>12.664673800000001</v>
          </cell>
          <cell r="EG151">
            <v>9.7273408999999997</v>
          </cell>
          <cell r="EH151">
            <v>1.36595</v>
          </cell>
          <cell r="EI151">
            <v>2.46523</v>
          </cell>
          <cell r="EJ151">
            <v>0.36898600000000004</v>
          </cell>
          <cell r="EK151">
            <v>0</v>
          </cell>
          <cell r="EL151">
            <v>6.5276508999999994</v>
          </cell>
          <cell r="EM151">
            <v>1.4950700000000001</v>
          </cell>
          <cell r="EN151">
            <v>0.49914800000000004</v>
          </cell>
          <cell r="EO151">
            <v>1.2691300000000001</v>
          </cell>
          <cell r="EP151">
            <v>2.1184499999999997</v>
          </cell>
          <cell r="EQ151">
            <v>0.84940999999999989</v>
          </cell>
          <cell r="ER151">
            <v>1.7392000000000001</v>
          </cell>
          <cell r="ES151">
            <v>0.72011599999999998</v>
          </cell>
          <cell r="ET151" t="str">
            <v>nd</v>
          </cell>
          <cell r="EU151" t="str">
            <v>nd</v>
          </cell>
          <cell r="EV151">
            <v>0</v>
          </cell>
          <cell r="EW151" t="str">
            <v>nd</v>
          </cell>
          <cell r="EX151">
            <v>1.26457</v>
          </cell>
          <cell r="EY151">
            <v>4.1398900000000003</v>
          </cell>
          <cell r="EZ151">
            <v>0</v>
          </cell>
          <cell r="FA151">
            <v>2.1158699999999997</v>
          </cell>
          <cell r="FB151">
            <v>6.4321574000000004</v>
          </cell>
          <cell r="FC151">
            <v>3.3384999999999998</v>
          </cell>
          <cell r="FD151">
            <v>4.1154500000000001</v>
          </cell>
          <cell r="FE151">
            <v>2.1124700000000001</v>
          </cell>
          <cell r="FF151">
            <v>4.3084499999999997</v>
          </cell>
          <cell r="FG151">
            <v>13.9167288</v>
          </cell>
          <cell r="FH151">
            <v>14.538469800000001</v>
          </cell>
          <cell r="FI151">
            <v>1.52884</v>
          </cell>
          <cell r="FJ151">
            <v>0.92186999999999997</v>
          </cell>
          <cell r="FK151">
            <v>1.59819</v>
          </cell>
          <cell r="FL151">
            <v>2.8138300000000003</v>
          </cell>
          <cell r="FM151">
            <v>11.181256400000001</v>
          </cell>
          <cell r="FN151">
            <v>9.1864021000000005</v>
          </cell>
          <cell r="FO151">
            <v>1.8737299999999999</v>
          </cell>
          <cell r="FP151">
            <v>1.1673</v>
          </cell>
          <cell r="FQ151" t="str">
            <v>nd</v>
          </cell>
          <cell r="FR151">
            <v>2.1557900000000001</v>
          </cell>
          <cell r="FS151">
            <v>0.85932000000000008</v>
          </cell>
          <cell r="FT151">
            <v>5.8622300000000003</v>
          </cell>
          <cell r="FU151" t="str">
            <v>nd</v>
          </cell>
          <cell r="FV151">
            <v>0</v>
          </cell>
          <cell r="FW151">
            <v>1.0827099999999998</v>
          </cell>
          <cell r="FX151">
            <v>0</v>
          </cell>
          <cell r="FY151">
            <v>0.78917999999999988</v>
          </cell>
          <cell r="FZ151">
            <v>0.86566999999999994</v>
          </cell>
          <cell r="GA151">
            <v>6.4696616999999996</v>
          </cell>
          <cell r="GB151">
            <v>3.6844099999999997</v>
          </cell>
          <cell r="GC151">
            <v>1.3518699999999999</v>
          </cell>
          <cell r="GD151">
            <v>1.39937</v>
          </cell>
          <cell r="GE151">
            <v>2.6448900000000002</v>
          </cell>
          <cell r="GF151">
            <v>4.4189499999999997</v>
          </cell>
          <cell r="GG151">
            <v>4.8926400000000001</v>
          </cell>
          <cell r="GH151">
            <v>3.8368800000000003</v>
          </cell>
          <cell r="GI151">
            <v>4.8352500000000003</v>
          </cell>
          <cell r="GJ151">
            <v>12.371688899999999</v>
          </cell>
          <cell r="GK151">
            <v>12.0524337</v>
          </cell>
          <cell r="GL151">
            <v>0</v>
          </cell>
          <cell r="GM151">
            <v>0</v>
          </cell>
          <cell r="GN151">
            <v>6.6038466000000007</v>
          </cell>
          <cell r="GO151">
            <v>2.1486499999999999</v>
          </cell>
          <cell r="GP151">
            <v>4.7704499999999994</v>
          </cell>
          <cell r="GQ151">
            <v>13.188464999999999</v>
          </cell>
          <cell r="GR151">
            <v>0</v>
          </cell>
          <cell r="GS151" t="str">
            <v>nd</v>
          </cell>
          <cell r="GT151">
            <v>0</v>
          </cell>
          <cell r="GU151" t="str">
            <v>nd</v>
          </cell>
          <cell r="GV151">
            <v>1.71339</v>
          </cell>
          <cell r="GW151">
            <v>8.4176058000000005</v>
          </cell>
          <cell r="GX151">
            <v>0</v>
          </cell>
          <cell r="GY151" t="str">
            <v>nd</v>
          </cell>
          <cell r="GZ151">
            <v>0</v>
          </cell>
          <cell r="HA151">
            <v>0.92178000000000004</v>
          </cell>
          <cell r="HB151">
            <v>1.6519099999999998</v>
          </cell>
          <cell r="HC151">
            <v>0.28687200000000002</v>
          </cell>
          <cell r="HD151">
            <v>0</v>
          </cell>
          <cell r="HE151">
            <v>4.5079700000000003</v>
          </cell>
          <cell r="HF151">
            <v>0</v>
          </cell>
          <cell r="HG151" t="str">
            <v>nd</v>
          </cell>
          <cell r="HH151">
            <v>10.197902899999999</v>
          </cell>
          <cell r="HI151">
            <v>0</v>
          </cell>
          <cell r="HJ151">
            <v>0</v>
          </cell>
          <cell r="HK151" t="str">
            <v>nd</v>
          </cell>
          <cell r="HL151" t="str">
            <v>nd</v>
          </cell>
          <cell r="HM151">
            <v>20.3071342</v>
          </cell>
          <cell r="HN151">
            <v>20.5944793</v>
          </cell>
          <cell r="HO151">
            <v>0</v>
          </cell>
          <cell r="HP151">
            <v>0</v>
          </cell>
          <cell r="HQ151">
            <v>0</v>
          </cell>
          <cell r="HR151">
            <v>0</v>
          </cell>
          <cell r="HS151">
            <v>19.189464999999998</v>
          </cell>
          <cell r="HT151">
            <v>7.3115141999999995</v>
          </cell>
          <cell r="HU151">
            <v>0</v>
          </cell>
          <cell r="HV151">
            <v>0</v>
          </cell>
          <cell r="HW151">
            <v>0</v>
          </cell>
          <cell r="HX151" t="str">
            <v>nd</v>
          </cell>
          <cell r="HY151">
            <v>6.2376699999999996</v>
          </cell>
          <cell r="HZ151">
            <v>6.2536230000000002</v>
          </cell>
          <cell r="IA151">
            <v>0</v>
          </cell>
          <cell r="IB151">
            <v>0</v>
          </cell>
          <cell r="IC151">
            <v>0</v>
          </cell>
          <cell r="ID151">
            <v>0</v>
          </cell>
          <cell r="IE151">
            <v>3.2034899999999999</v>
          </cell>
          <cell r="IF151">
            <v>0.65368500000000007</v>
          </cell>
          <cell r="IG151" t="str">
            <v>nd</v>
          </cell>
          <cell r="IH151">
            <v>2.75766</v>
          </cell>
          <cell r="II151">
            <v>0.60883200000000004</v>
          </cell>
          <cell r="IJ151">
            <v>1.0410699999999999</v>
          </cell>
          <cell r="IK151">
            <v>9.6785052</v>
          </cell>
          <cell r="IL151">
            <v>0</v>
          </cell>
          <cell r="IM151" t="str">
            <v>nd</v>
          </cell>
          <cell r="IN151">
            <v>1.3004200000000001</v>
          </cell>
          <cell r="IO151">
            <v>4.5537700000000001</v>
          </cell>
          <cell r="IP151">
            <v>18.0115935</v>
          </cell>
          <cell r="IQ151">
            <v>18.1440859</v>
          </cell>
          <cell r="IR151">
            <v>0</v>
          </cell>
          <cell r="IS151" t="str">
            <v>nd</v>
          </cell>
          <cell r="IT151">
            <v>0</v>
          </cell>
          <cell r="IU151">
            <v>1.9618900000000001</v>
          </cell>
          <cell r="IV151">
            <v>14.5263917</v>
          </cell>
          <cell r="IW151">
            <v>10.275290800000001</v>
          </cell>
          <cell r="IX151">
            <v>0</v>
          </cell>
          <cell r="IY151" t="str">
            <v>nd</v>
          </cell>
          <cell r="IZ151" t="str">
            <v>nd</v>
          </cell>
          <cell r="JA151" t="str">
            <v>nd</v>
          </cell>
          <cell r="JB151">
            <v>6.9214681000000002</v>
          </cell>
          <cell r="JC151">
            <v>5.0575999999999999</v>
          </cell>
          <cell r="JD151">
            <v>0</v>
          </cell>
          <cell r="JE151">
            <v>0</v>
          </cell>
          <cell r="JF151">
            <v>0</v>
          </cell>
          <cell r="JG151" t="str">
            <v>nd</v>
          </cell>
          <cell r="JH151">
            <v>2.2599999999999998</v>
          </cell>
          <cell r="JI151">
            <v>0.68152800000000002</v>
          </cell>
          <cell r="JJ151">
            <v>0</v>
          </cell>
          <cell r="JK151">
            <v>0</v>
          </cell>
          <cell r="JL151">
            <v>0</v>
          </cell>
          <cell r="JM151">
            <v>0</v>
          </cell>
          <cell r="JN151">
            <v>14.7246448</v>
          </cell>
          <cell r="JO151">
            <v>0</v>
          </cell>
          <cell r="JP151">
            <v>0</v>
          </cell>
          <cell r="JQ151">
            <v>0</v>
          </cell>
          <cell r="JR151">
            <v>0</v>
          </cell>
          <cell r="JS151">
            <v>0.61116099999999995</v>
          </cell>
          <cell r="JT151">
            <v>40.476706999999998</v>
          </cell>
          <cell r="JU151">
            <v>0</v>
          </cell>
          <cell r="JV151">
            <v>0</v>
          </cell>
          <cell r="JW151">
            <v>0</v>
          </cell>
          <cell r="JX151">
            <v>0</v>
          </cell>
          <cell r="JY151">
            <v>0</v>
          </cell>
          <cell r="JZ151">
            <v>27.290889</v>
          </cell>
          <cell r="KA151">
            <v>0</v>
          </cell>
          <cell r="KB151">
            <v>0</v>
          </cell>
          <cell r="KC151">
            <v>0</v>
          </cell>
          <cell r="KD151">
            <v>0</v>
          </cell>
          <cell r="KE151">
            <v>0</v>
          </cell>
          <cell r="KF151">
            <v>13.8319122</v>
          </cell>
          <cell r="KG151">
            <v>0</v>
          </cell>
          <cell r="KH151">
            <v>0</v>
          </cell>
          <cell r="KI151">
            <v>0</v>
          </cell>
          <cell r="KJ151">
            <v>0</v>
          </cell>
          <cell r="KK151" t="str">
            <v>nd</v>
          </cell>
          <cell r="KL151">
            <v>2.9729299999999999</v>
          </cell>
          <cell r="KM151">
            <v>51.800000000000004</v>
          </cell>
          <cell r="KN151">
            <v>16.8</v>
          </cell>
          <cell r="KO151">
            <v>22</v>
          </cell>
          <cell r="KP151">
            <v>4</v>
          </cell>
          <cell r="KQ151">
            <v>5.4</v>
          </cell>
          <cell r="KR151">
            <v>0</v>
          </cell>
          <cell r="KS151">
            <v>51.6</v>
          </cell>
          <cell r="KT151">
            <v>16.7</v>
          </cell>
          <cell r="KU151">
            <v>21.8</v>
          </cell>
          <cell r="KV151">
            <v>4.1000000000000005</v>
          </cell>
          <cell r="KW151">
            <v>5.8000000000000007</v>
          </cell>
          <cell r="KX151">
            <v>0</v>
          </cell>
          <cell r="KY151"/>
          <cell r="KZ151"/>
          <cell r="LA151"/>
          <cell r="LB151"/>
          <cell r="LC151"/>
          <cell r="LD151"/>
          <cell r="LE151"/>
          <cell r="LF151"/>
          <cell r="LG151"/>
          <cell r="LH151"/>
          <cell r="LI151"/>
          <cell r="LJ151"/>
          <cell r="LK151"/>
          <cell r="LL151"/>
          <cell r="LM151"/>
          <cell r="LN151"/>
          <cell r="LO151"/>
        </row>
        <row r="152">
          <cell r="A152" t="str">
            <v>EnsSZ</v>
          </cell>
          <cell r="B152" t="str">
            <v>152</v>
          </cell>
          <cell r="C152" t="str">
            <v>NAF 38</v>
          </cell>
          <cell r="D152" t="str">
            <v>SZ</v>
          </cell>
          <cell r="E152" t="str">
            <v/>
          </cell>
          <cell r="F152">
            <v>3.6999999999999997</v>
          </cell>
          <cell r="G152">
            <v>12.2</v>
          </cell>
          <cell r="H152">
            <v>27.700000000000003</v>
          </cell>
          <cell r="I152">
            <v>49</v>
          </cell>
          <cell r="J152">
            <v>7.3999999999999995</v>
          </cell>
          <cell r="K152">
            <v>49.4</v>
          </cell>
          <cell r="L152">
            <v>34</v>
          </cell>
          <cell r="M152">
            <v>3.5000000000000004</v>
          </cell>
          <cell r="N152">
            <v>13</v>
          </cell>
          <cell r="O152">
            <v>25.7</v>
          </cell>
          <cell r="P152">
            <v>33.800000000000004</v>
          </cell>
          <cell r="Q152">
            <v>7.8</v>
          </cell>
          <cell r="R152">
            <v>9.5</v>
          </cell>
          <cell r="S152">
            <v>19.5</v>
          </cell>
          <cell r="T152">
            <v>26.700000000000003</v>
          </cell>
          <cell r="U152">
            <v>12.6</v>
          </cell>
          <cell r="V152">
            <v>22.6</v>
          </cell>
          <cell r="W152">
            <v>12.6</v>
          </cell>
          <cell r="X152">
            <v>84</v>
          </cell>
          <cell r="Y152">
            <v>3.3000000000000003</v>
          </cell>
          <cell r="Z152" t="str">
            <v>nd</v>
          </cell>
          <cell r="AA152">
            <v>53.300000000000004</v>
          </cell>
          <cell r="AB152">
            <v>5.7</v>
          </cell>
          <cell r="AC152">
            <v>57.4</v>
          </cell>
          <cell r="AD152">
            <v>27</v>
          </cell>
          <cell r="AE152">
            <v>52.6</v>
          </cell>
          <cell r="AF152">
            <v>47.4</v>
          </cell>
          <cell r="AG152">
            <v>69.599999999999994</v>
          </cell>
          <cell r="AH152">
            <v>30.4</v>
          </cell>
          <cell r="AI152">
            <v>24.2</v>
          </cell>
          <cell r="AJ152">
            <v>22.1</v>
          </cell>
          <cell r="AK152">
            <v>4.5999999999999996</v>
          </cell>
          <cell r="AL152">
            <v>42.6</v>
          </cell>
          <cell r="AM152">
            <v>6.5</v>
          </cell>
          <cell r="AN152">
            <v>7.3</v>
          </cell>
          <cell r="AO152">
            <v>3.3000000000000003</v>
          </cell>
          <cell r="AP152" t="str">
            <v>nd</v>
          </cell>
          <cell r="AQ152">
            <v>82.899999999999991</v>
          </cell>
          <cell r="AR152">
            <v>4.7</v>
          </cell>
          <cell r="AS152">
            <v>58.099999999999994</v>
          </cell>
          <cell r="AT152">
            <v>14.2</v>
          </cell>
          <cell r="AU152">
            <v>8.1</v>
          </cell>
          <cell r="AV152">
            <v>6.5</v>
          </cell>
          <cell r="AW152">
            <v>8.4</v>
          </cell>
          <cell r="AX152">
            <v>4.5999999999999996</v>
          </cell>
          <cell r="AY152">
            <v>7.0000000000000009</v>
          </cell>
          <cell r="AZ152">
            <v>7.3999999999999995</v>
          </cell>
          <cell r="BA152">
            <v>8.5</v>
          </cell>
          <cell r="BB152">
            <v>9.7000000000000011</v>
          </cell>
          <cell r="BC152">
            <v>28.299999999999997</v>
          </cell>
          <cell r="BD152">
            <v>39.1</v>
          </cell>
          <cell r="BE152">
            <v>3.3000000000000003</v>
          </cell>
          <cell r="BF152">
            <v>3.2</v>
          </cell>
          <cell r="BG152">
            <v>3.2</v>
          </cell>
          <cell r="BH152">
            <v>5.5</v>
          </cell>
          <cell r="BI152">
            <v>23.200000000000003</v>
          </cell>
          <cell r="BJ152">
            <v>61.6</v>
          </cell>
          <cell r="BK152">
            <v>0</v>
          </cell>
          <cell r="BL152">
            <v>0</v>
          </cell>
          <cell r="BM152" t="str">
            <v>nd</v>
          </cell>
          <cell r="BN152">
            <v>7.7</v>
          </cell>
          <cell r="BO152">
            <v>54.7</v>
          </cell>
          <cell r="BP152">
            <v>37.5</v>
          </cell>
          <cell r="BQ152">
            <v>0</v>
          </cell>
          <cell r="BR152" t="str">
            <v>nd</v>
          </cell>
          <cell r="BS152" t="str">
            <v>nd</v>
          </cell>
          <cell r="BT152">
            <v>6.3</v>
          </cell>
          <cell r="BU152">
            <v>52.400000000000006</v>
          </cell>
          <cell r="BV152">
            <v>41.099999999999994</v>
          </cell>
          <cell r="BW152">
            <v>0</v>
          </cell>
          <cell r="BX152">
            <v>0</v>
          </cell>
          <cell r="BY152">
            <v>0</v>
          </cell>
          <cell r="BZ152" t="str">
            <v>nd</v>
          </cell>
          <cell r="CA152" t="str">
            <v>nd</v>
          </cell>
          <cell r="CB152">
            <v>99.7</v>
          </cell>
          <cell r="CC152">
            <v>8.1</v>
          </cell>
          <cell r="CD152">
            <v>9</v>
          </cell>
          <cell r="CE152">
            <v>1.7000000000000002</v>
          </cell>
          <cell r="CF152">
            <v>2.1999999999999997</v>
          </cell>
          <cell r="CG152" t="str">
            <v>nd</v>
          </cell>
          <cell r="CH152">
            <v>16.5</v>
          </cell>
          <cell r="CI152">
            <v>9.5</v>
          </cell>
          <cell r="CJ152">
            <v>69.899999999999991</v>
          </cell>
          <cell r="CK152">
            <v>19.2</v>
          </cell>
          <cell r="CL152">
            <v>2.6</v>
          </cell>
          <cell r="CM152">
            <v>2</v>
          </cell>
          <cell r="CN152">
            <v>0.89999999999999991</v>
          </cell>
          <cell r="CO152">
            <v>79.100000000000009</v>
          </cell>
          <cell r="CP152">
            <v>30.099999999999998</v>
          </cell>
          <cell r="CQ152">
            <v>25.4</v>
          </cell>
          <cell r="CR152">
            <v>14.7</v>
          </cell>
          <cell r="CS152">
            <v>29.799999999999997</v>
          </cell>
          <cell r="CT152">
            <v>33.4</v>
          </cell>
          <cell r="CU152">
            <v>66.600000000000009</v>
          </cell>
          <cell r="CV152">
            <v>23.9</v>
          </cell>
          <cell r="CW152">
            <v>76.099999999999994</v>
          </cell>
          <cell r="CX152">
            <v>22.7</v>
          </cell>
          <cell r="CY152">
            <v>11.5</v>
          </cell>
          <cell r="CZ152">
            <v>65.8</v>
          </cell>
          <cell r="DA152">
            <v>22.2</v>
          </cell>
          <cell r="DB152">
            <v>4.3</v>
          </cell>
          <cell r="DC152">
            <v>6.3</v>
          </cell>
          <cell r="DD152" t="str">
            <v>nd</v>
          </cell>
          <cell r="DE152">
            <v>75.8</v>
          </cell>
          <cell r="DF152">
            <v>22.7</v>
          </cell>
          <cell r="DG152">
            <v>11.3</v>
          </cell>
          <cell r="DH152">
            <v>24</v>
          </cell>
          <cell r="DI152">
            <v>12.8</v>
          </cell>
          <cell r="DJ152">
            <v>12.5</v>
          </cell>
          <cell r="DK152">
            <v>16.7</v>
          </cell>
          <cell r="DL152">
            <v>24</v>
          </cell>
          <cell r="DM152">
            <v>23.5</v>
          </cell>
          <cell r="DN152">
            <v>9.7000000000000011</v>
          </cell>
          <cell r="DO152">
            <v>36.9</v>
          </cell>
          <cell r="DP152">
            <v>10.4</v>
          </cell>
          <cell r="DQ152">
            <v>3</v>
          </cell>
          <cell r="DR152">
            <v>3.6999999999999997</v>
          </cell>
          <cell r="DS152">
            <v>18.399999999999999</v>
          </cell>
          <cell r="DT152">
            <v>20.599999999999998</v>
          </cell>
          <cell r="DU152">
            <v>1.53586</v>
          </cell>
          <cell r="DV152">
            <v>1.0047999999999999</v>
          </cell>
          <cell r="DW152" t="str">
            <v>nd</v>
          </cell>
          <cell r="DX152" t="str">
            <v>nd</v>
          </cell>
          <cell r="DY152">
            <v>0.25840299999999999</v>
          </cell>
          <cell r="DZ152">
            <v>3.5290900000000001</v>
          </cell>
          <cell r="EA152">
            <v>1.73115</v>
          </cell>
          <cell r="EB152">
            <v>3.6971499999999997</v>
          </cell>
          <cell r="EC152">
            <v>1.21844</v>
          </cell>
          <cell r="ED152">
            <v>0.66999299999999995</v>
          </cell>
          <cell r="EE152">
            <v>0.63944000000000001</v>
          </cell>
          <cell r="EF152">
            <v>17.152094399999999</v>
          </cell>
          <cell r="EG152">
            <v>5.1309199999999997</v>
          </cell>
          <cell r="EH152">
            <v>1.4132199999999999</v>
          </cell>
          <cell r="EI152">
            <v>1.9774799999999999</v>
          </cell>
          <cell r="EJ152">
            <v>2.42225</v>
          </cell>
          <cell r="EK152">
            <v>1.47174</v>
          </cell>
          <cell r="EL152">
            <v>29.325042</v>
          </cell>
          <cell r="EM152">
            <v>7.2539068999999996</v>
          </cell>
          <cell r="EN152">
            <v>2.7862</v>
          </cell>
          <cell r="EO152">
            <v>2.4588000000000001</v>
          </cell>
          <cell r="EP152">
            <v>3.8653499999999998</v>
          </cell>
          <cell r="EQ152">
            <v>2.1487800000000004</v>
          </cell>
          <cell r="ER152">
            <v>6.5765865000000003</v>
          </cell>
          <cell r="ES152" t="str">
            <v>nd</v>
          </cell>
          <cell r="ET152">
            <v>0</v>
          </cell>
          <cell r="EU152" t="str">
            <v>nd</v>
          </cell>
          <cell r="EV152" t="str">
            <v>nd</v>
          </cell>
          <cell r="EW152" t="str">
            <v>nd</v>
          </cell>
          <cell r="EX152">
            <v>0</v>
          </cell>
          <cell r="EY152">
            <v>1.7248699999999999</v>
          </cell>
          <cell r="EZ152">
            <v>0</v>
          </cell>
          <cell r="FA152" t="str">
            <v>nd</v>
          </cell>
          <cell r="FB152">
            <v>1.47977</v>
          </cell>
          <cell r="FC152" t="str">
            <v>nd</v>
          </cell>
          <cell r="FD152" t="str">
            <v>nd</v>
          </cell>
          <cell r="FE152">
            <v>1.7721100000000001</v>
          </cell>
          <cell r="FF152">
            <v>1.0099</v>
          </cell>
          <cell r="FG152">
            <v>4.6946899999999996</v>
          </cell>
          <cell r="FH152">
            <v>4.0183900000000001</v>
          </cell>
          <cell r="FI152">
            <v>1.49709</v>
          </cell>
          <cell r="FJ152">
            <v>2.0011999999999999</v>
          </cell>
          <cell r="FK152">
            <v>1.39852</v>
          </cell>
          <cell r="FL152">
            <v>3.7948400000000002</v>
          </cell>
          <cell r="FM152">
            <v>8.1969103000000008</v>
          </cell>
          <cell r="FN152">
            <v>12.549772200000001</v>
          </cell>
          <cell r="FO152">
            <v>5.2889100000000004</v>
          </cell>
          <cell r="FP152">
            <v>4.8242700000000003</v>
          </cell>
          <cell r="FQ152">
            <v>5.3014899999999994</v>
          </cell>
          <cell r="FR152">
            <v>4.0879599999999998</v>
          </cell>
          <cell r="FS152">
            <v>11.7785101</v>
          </cell>
          <cell r="FT152">
            <v>16.706288799999999</v>
          </cell>
          <cell r="FU152">
            <v>0</v>
          </cell>
          <cell r="FV152" t="str">
            <v>nd</v>
          </cell>
          <cell r="FW152">
            <v>0</v>
          </cell>
          <cell r="FX152">
            <v>0.56707200000000002</v>
          </cell>
          <cell r="FY152">
            <v>1.8911199999999999</v>
          </cell>
          <cell r="FZ152">
            <v>4.3982700000000001</v>
          </cell>
          <cell r="GA152">
            <v>0.36975200000000003</v>
          </cell>
          <cell r="GB152">
            <v>0</v>
          </cell>
          <cell r="GC152">
            <v>0</v>
          </cell>
          <cell r="GD152">
            <v>0</v>
          </cell>
          <cell r="GE152">
            <v>1.7637400000000001</v>
          </cell>
          <cell r="GF152">
            <v>1.1379000000000001</v>
          </cell>
          <cell r="GG152">
            <v>1.2491300000000001</v>
          </cell>
          <cell r="GH152">
            <v>1.8335299999999999</v>
          </cell>
          <cell r="GI152">
            <v>1.3845799999999999</v>
          </cell>
          <cell r="GJ152">
            <v>2.7513900000000002</v>
          </cell>
          <cell r="GK152">
            <v>3.5582599999999998</v>
          </cell>
          <cell r="GL152" t="str">
            <v>nd</v>
          </cell>
          <cell r="GM152" t="str">
            <v>nd</v>
          </cell>
          <cell r="GN152">
            <v>1.2099900000000001</v>
          </cell>
          <cell r="GO152">
            <v>3.1099200000000002</v>
          </cell>
          <cell r="GP152">
            <v>9.3431715000000004</v>
          </cell>
          <cell r="GQ152">
            <v>13.9705637</v>
          </cell>
          <cell r="GR152" t="str">
            <v>nd</v>
          </cell>
          <cell r="GS152" t="str">
            <v>nd</v>
          </cell>
          <cell r="GT152" t="str">
            <v>nd</v>
          </cell>
          <cell r="GU152" t="str">
            <v>nd</v>
          </cell>
          <cell r="GV152">
            <v>10.124828900000001</v>
          </cell>
          <cell r="GW152">
            <v>36.822958200000002</v>
          </cell>
          <cell r="GX152">
            <v>0</v>
          </cell>
          <cell r="GY152" t="str">
            <v>nd</v>
          </cell>
          <cell r="GZ152">
            <v>0</v>
          </cell>
          <cell r="HA152" t="str">
            <v>nd</v>
          </cell>
          <cell r="HB152">
            <v>1.0105</v>
          </cell>
          <cell r="HC152">
            <v>5.51424</v>
          </cell>
          <cell r="HD152">
            <v>0</v>
          </cell>
          <cell r="HE152">
            <v>1.2736000000000001</v>
          </cell>
          <cell r="HF152">
            <v>0</v>
          </cell>
          <cell r="HG152">
            <v>0</v>
          </cell>
          <cell r="HH152">
            <v>2.0174500000000002</v>
          </cell>
          <cell r="HI152">
            <v>0</v>
          </cell>
          <cell r="HJ152">
            <v>0</v>
          </cell>
          <cell r="HK152" t="str">
            <v>nd</v>
          </cell>
          <cell r="HL152">
            <v>0.74143000000000003</v>
          </cell>
          <cell r="HM152">
            <v>6.4072388999999994</v>
          </cell>
          <cell r="HN152">
            <v>4.7869900000000003</v>
          </cell>
          <cell r="HO152">
            <v>0</v>
          </cell>
          <cell r="HP152">
            <v>0</v>
          </cell>
          <cell r="HQ152">
            <v>0</v>
          </cell>
          <cell r="HR152">
            <v>3.5262199999999999</v>
          </cell>
          <cell r="HS152">
            <v>15.890504</v>
          </cell>
          <cell r="HT152">
            <v>9.9791956000000006</v>
          </cell>
          <cell r="HU152">
            <v>0</v>
          </cell>
          <cell r="HV152">
            <v>0</v>
          </cell>
          <cell r="HW152">
            <v>0</v>
          </cell>
          <cell r="HX152">
            <v>2.5473499999999998</v>
          </cell>
          <cell r="HY152">
            <v>27.161170899999998</v>
          </cell>
          <cell r="HZ152">
            <v>17.9469751</v>
          </cell>
          <cell r="IA152">
            <v>0</v>
          </cell>
          <cell r="IB152">
            <v>0</v>
          </cell>
          <cell r="IC152">
            <v>0</v>
          </cell>
          <cell r="ID152">
            <v>0.87101000000000006</v>
          </cell>
          <cell r="IE152">
            <v>3.9672100000000001</v>
          </cell>
          <cell r="IF152">
            <v>2.7971599999999999</v>
          </cell>
          <cell r="IG152">
            <v>0</v>
          </cell>
          <cell r="IH152" t="str">
            <v>nd</v>
          </cell>
          <cell r="II152">
            <v>0</v>
          </cell>
          <cell r="IJ152" t="str">
            <v>nd</v>
          </cell>
          <cell r="IK152">
            <v>2.3361900000000002</v>
          </cell>
          <cell r="IL152">
            <v>0</v>
          </cell>
          <cell r="IM152" t="str">
            <v>nd</v>
          </cell>
          <cell r="IN152" t="str">
            <v>nd</v>
          </cell>
          <cell r="IO152">
            <v>0.54004700000000005</v>
          </cell>
          <cell r="IP152">
            <v>6.7009319999999999</v>
          </cell>
          <cell r="IQ152">
            <v>4.0999099999999995</v>
          </cell>
          <cell r="IR152">
            <v>0</v>
          </cell>
          <cell r="IS152">
            <v>0</v>
          </cell>
          <cell r="IT152">
            <v>0</v>
          </cell>
          <cell r="IU152">
            <v>1.6405099999999999</v>
          </cell>
          <cell r="IV152">
            <v>13.848070600000002</v>
          </cell>
          <cell r="IW152">
            <v>13.886812500000001</v>
          </cell>
          <cell r="IX152">
            <v>0</v>
          </cell>
          <cell r="IY152">
            <v>0</v>
          </cell>
          <cell r="IZ152">
            <v>0</v>
          </cell>
          <cell r="JA152">
            <v>3.2551200000000002</v>
          </cell>
          <cell r="JB152">
            <v>28.144004099999997</v>
          </cell>
          <cell r="JC152">
            <v>16.699916000000002</v>
          </cell>
          <cell r="JD152">
            <v>0</v>
          </cell>
          <cell r="JE152">
            <v>0</v>
          </cell>
          <cell r="JF152">
            <v>0</v>
          </cell>
          <cell r="JG152" t="str">
            <v>nd</v>
          </cell>
          <cell r="JH152">
            <v>3.0722</v>
          </cell>
          <cell r="JI152">
            <v>4.11822</v>
          </cell>
          <cell r="JJ152">
            <v>0</v>
          </cell>
          <cell r="JK152">
            <v>0</v>
          </cell>
          <cell r="JL152">
            <v>0</v>
          </cell>
          <cell r="JM152">
            <v>0</v>
          </cell>
          <cell r="JN152">
            <v>3.3211599999999999</v>
          </cell>
          <cell r="JO152">
            <v>0</v>
          </cell>
          <cell r="JP152">
            <v>0</v>
          </cell>
          <cell r="JQ152">
            <v>0</v>
          </cell>
          <cell r="JR152">
            <v>0</v>
          </cell>
          <cell r="JS152" t="str">
            <v>nd</v>
          </cell>
          <cell r="JT152">
            <v>11.5721378</v>
          </cell>
          <cell r="JU152">
            <v>0</v>
          </cell>
          <cell r="JV152">
            <v>0</v>
          </cell>
          <cell r="JW152">
            <v>0</v>
          </cell>
          <cell r="JX152">
            <v>0</v>
          </cell>
          <cell r="JY152">
            <v>0</v>
          </cell>
          <cell r="JZ152">
            <v>29.942410500000001</v>
          </cell>
          <cell r="KA152">
            <v>0</v>
          </cell>
          <cell r="KB152">
            <v>0</v>
          </cell>
          <cell r="KC152">
            <v>0</v>
          </cell>
          <cell r="KD152" t="str">
            <v>nd</v>
          </cell>
          <cell r="KE152" t="str">
            <v>nd</v>
          </cell>
          <cell r="KF152">
            <v>47.507907700000004</v>
          </cell>
          <cell r="KG152">
            <v>0</v>
          </cell>
          <cell r="KH152">
            <v>0</v>
          </cell>
          <cell r="KI152">
            <v>0</v>
          </cell>
          <cell r="KJ152">
            <v>0</v>
          </cell>
          <cell r="KK152">
            <v>0</v>
          </cell>
          <cell r="KL152">
            <v>7.3502388999999999</v>
          </cell>
          <cell r="KM152">
            <v>64.900000000000006</v>
          </cell>
          <cell r="KN152">
            <v>17.899999999999999</v>
          </cell>
          <cell r="KO152">
            <v>9.1999999999999993</v>
          </cell>
          <cell r="KP152">
            <v>4.1000000000000005</v>
          </cell>
          <cell r="KQ152">
            <v>3.9</v>
          </cell>
          <cell r="KR152">
            <v>0</v>
          </cell>
          <cell r="KS152">
            <v>64</v>
          </cell>
          <cell r="KT152">
            <v>17.899999999999999</v>
          </cell>
          <cell r="KU152">
            <v>9.3000000000000007</v>
          </cell>
          <cell r="KV152">
            <v>4.5999999999999996</v>
          </cell>
          <cell r="KW152">
            <v>4.3</v>
          </cell>
          <cell r="KX152">
            <v>0</v>
          </cell>
          <cell r="KY152"/>
          <cell r="KZ152"/>
          <cell r="LA152"/>
          <cell r="LB152"/>
          <cell r="LC152"/>
          <cell r="LD152"/>
          <cell r="LE152"/>
          <cell r="LF152"/>
          <cell r="LG152"/>
          <cell r="LH152"/>
          <cell r="LI152"/>
          <cell r="LJ152"/>
          <cell r="LK152"/>
          <cell r="LL152"/>
          <cell r="LM152"/>
          <cell r="LN152"/>
          <cell r="LO152"/>
        </row>
        <row r="153">
          <cell r="A153" t="str">
            <v>EnsET2</v>
          </cell>
          <cell r="B153" t="str">
            <v>153</v>
          </cell>
          <cell r="C153" t="str">
            <v>NAF 4</v>
          </cell>
          <cell r="D153" t="str">
            <v>ET2</v>
          </cell>
          <cell r="E153" t="str">
            <v/>
          </cell>
          <cell r="F153">
            <v>0.1</v>
          </cell>
          <cell r="G153">
            <v>10.8</v>
          </cell>
          <cell r="H153">
            <v>44.2</v>
          </cell>
          <cell r="I153">
            <v>37.4</v>
          </cell>
          <cell r="J153">
            <v>7.5</v>
          </cell>
          <cell r="K153">
            <v>77.2</v>
          </cell>
          <cell r="L153">
            <v>6.3</v>
          </cell>
          <cell r="M153">
            <v>8.3000000000000007</v>
          </cell>
          <cell r="N153">
            <v>8.3000000000000007</v>
          </cell>
          <cell r="O153">
            <v>29.5</v>
          </cell>
          <cell r="P153">
            <v>28.000000000000004</v>
          </cell>
          <cell r="Q153">
            <v>21.7</v>
          </cell>
          <cell r="R153">
            <v>8.6999999999999993</v>
          </cell>
          <cell r="S153">
            <v>12.5</v>
          </cell>
          <cell r="T153">
            <v>45.1</v>
          </cell>
          <cell r="U153">
            <v>3.3000000000000003</v>
          </cell>
          <cell r="V153">
            <v>15.5</v>
          </cell>
          <cell r="W153">
            <v>12</v>
          </cell>
          <cell r="X153">
            <v>83.899999999999991</v>
          </cell>
          <cell r="Y153">
            <v>4</v>
          </cell>
          <cell r="Z153">
            <v>8.6999999999999993</v>
          </cell>
          <cell r="AA153">
            <v>55.7</v>
          </cell>
          <cell r="AB153">
            <v>16.5</v>
          </cell>
          <cell r="AC153">
            <v>56.499999999999993</v>
          </cell>
          <cell r="AD153">
            <v>14.799999999999999</v>
          </cell>
          <cell r="AE153">
            <v>61.8</v>
          </cell>
          <cell r="AF153">
            <v>38.200000000000003</v>
          </cell>
          <cell r="AG153">
            <v>75.5</v>
          </cell>
          <cell r="AH153">
            <v>24.5</v>
          </cell>
          <cell r="AI153">
            <v>50.2</v>
          </cell>
          <cell r="AJ153">
            <v>2.2999999999999998</v>
          </cell>
          <cell r="AK153">
            <v>5.8000000000000007</v>
          </cell>
          <cell r="AL153">
            <v>35.299999999999997</v>
          </cell>
          <cell r="AM153">
            <v>6.3</v>
          </cell>
          <cell r="AN153">
            <v>11.799999999999999</v>
          </cell>
          <cell r="AO153">
            <v>4.2</v>
          </cell>
          <cell r="AP153">
            <v>5.7</v>
          </cell>
          <cell r="AQ153">
            <v>63.1</v>
          </cell>
          <cell r="AR153">
            <v>15.2</v>
          </cell>
          <cell r="AS153">
            <v>53.6</v>
          </cell>
          <cell r="AT153">
            <v>26.200000000000003</v>
          </cell>
          <cell r="AU153">
            <v>11.3</v>
          </cell>
          <cell r="AV153">
            <v>3.5000000000000004</v>
          </cell>
          <cell r="AW153">
            <v>2.7</v>
          </cell>
          <cell r="AX153">
            <v>2.7</v>
          </cell>
          <cell r="AY153">
            <v>2.4</v>
          </cell>
          <cell r="AZ153">
            <v>5.2</v>
          </cell>
          <cell r="BA153">
            <v>12.2</v>
          </cell>
          <cell r="BB153">
            <v>19.600000000000001</v>
          </cell>
          <cell r="BC153">
            <v>36.4</v>
          </cell>
          <cell r="BD153">
            <v>24.099999999999998</v>
          </cell>
          <cell r="BE153">
            <v>0.5</v>
          </cell>
          <cell r="BF153">
            <v>1.5</v>
          </cell>
          <cell r="BG153">
            <v>2.1</v>
          </cell>
          <cell r="BH153">
            <v>6.9</v>
          </cell>
          <cell r="BI153">
            <v>41.099999999999994</v>
          </cell>
          <cell r="BJ153">
            <v>48</v>
          </cell>
          <cell r="BK153" t="str">
            <v>nd</v>
          </cell>
          <cell r="BL153" t="str">
            <v>nd</v>
          </cell>
          <cell r="BM153">
            <v>0.5</v>
          </cell>
          <cell r="BN153">
            <v>7.1</v>
          </cell>
          <cell r="BO153">
            <v>81</v>
          </cell>
          <cell r="BP153">
            <v>11.3</v>
          </cell>
          <cell r="BQ153">
            <v>0.1</v>
          </cell>
          <cell r="BR153">
            <v>0.1</v>
          </cell>
          <cell r="BS153">
            <v>0.8</v>
          </cell>
          <cell r="BT153">
            <v>9.9</v>
          </cell>
          <cell r="BU153">
            <v>69.699999999999989</v>
          </cell>
          <cell r="BV153">
            <v>19.400000000000002</v>
          </cell>
          <cell r="BW153">
            <v>0</v>
          </cell>
          <cell r="BX153">
            <v>0</v>
          </cell>
          <cell r="BY153" t="str">
            <v>nd</v>
          </cell>
          <cell r="BZ153">
            <v>0.1</v>
          </cell>
          <cell r="CA153">
            <v>1.5</v>
          </cell>
          <cell r="CB153">
            <v>98.4</v>
          </cell>
          <cell r="CC153">
            <v>22.6</v>
          </cell>
          <cell r="CD153">
            <v>14.299999999999999</v>
          </cell>
          <cell r="CE153">
            <v>0.89999999999999991</v>
          </cell>
          <cell r="CF153">
            <v>1.4000000000000001</v>
          </cell>
          <cell r="CG153">
            <v>0.6</v>
          </cell>
          <cell r="CH153">
            <v>21.3</v>
          </cell>
          <cell r="CI153">
            <v>8</v>
          </cell>
          <cell r="CJ153">
            <v>54.400000000000006</v>
          </cell>
          <cell r="CK153">
            <v>42.5</v>
          </cell>
          <cell r="CL153">
            <v>10.299999999999999</v>
          </cell>
          <cell r="CM153">
            <v>2</v>
          </cell>
          <cell r="CN153">
            <v>1</v>
          </cell>
          <cell r="CO153">
            <v>53</v>
          </cell>
          <cell r="CP153">
            <v>17.399999999999999</v>
          </cell>
          <cell r="CQ153">
            <v>37.5</v>
          </cell>
          <cell r="CR153">
            <v>11.600000000000001</v>
          </cell>
          <cell r="CS153">
            <v>33.5</v>
          </cell>
          <cell r="CT153">
            <v>13</v>
          </cell>
          <cell r="CU153">
            <v>87</v>
          </cell>
          <cell r="CV153">
            <v>14.6</v>
          </cell>
          <cell r="CW153">
            <v>85.399999999999991</v>
          </cell>
          <cell r="CX153">
            <v>17.399999999999999</v>
          </cell>
          <cell r="CY153">
            <v>36.199999999999996</v>
          </cell>
          <cell r="CZ153">
            <v>46.400000000000006</v>
          </cell>
          <cell r="DA153">
            <v>31.8</v>
          </cell>
          <cell r="DB153">
            <v>8.3000000000000007</v>
          </cell>
          <cell r="DC153">
            <v>17.8</v>
          </cell>
          <cell r="DD153">
            <v>1.3</v>
          </cell>
          <cell r="DE153">
            <v>59.9</v>
          </cell>
          <cell r="DF153">
            <v>17.100000000000001</v>
          </cell>
          <cell r="DG153">
            <v>5.6000000000000005</v>
          </cell>
          <cell r="DH153">
            <v>16.900000000000002</v>
          </cell>
          <cell r="DI153">
            <v>15.6</v>
          </cell>
          <cell r="DJ153">
            <v>25.6</v>
          </cell>
          <cell r="DK153">
            <v>19.2</v>
          </cell>
          <cell r="DL153">
            <v>17.7</v>
          </cell>
          <cell r="DM153">
            <v>48.1</v>
          </cell>
          <cell r="DN153">
            <v>5.0999999999999996</v>
          </cell>
          <cell r="DO153">
            <v>25.2</v>
          </cell>
          <cell r="DP153">
            <v>5.7</v>
          </cell>
          <cell r="DQ153">
            <v>6.2</v>
          </cell>
          <cell r="DR153">
            <v>15.9</v>
          </cell>
          <cell r="DS153">
            <v>17</v>
          </cell>
          <cell r="DT153">
            <v>13.600000000000001</v>
          </cell>
          <cell r="DU153" t="str">
            <v>nd</v>
          </cell>
          <cell r="DV153" t="str">
            <v>nd</v>
          </cell>
          <cell r="DW153" t="str">
            <v>nd</v>
          </cell>
          <cell r="DX153" t="str">
            <v>nd</v>
          </cell>
          <cell r="DY153" t="str">
            <v>nd</v>
          </cell>
          <cell r="DZ153">
            <v>2.7145699999999997</v>
          </cell>
          <cell r="EA153">
            <v>3.0396999999999998</v>
          </cell>
          <cell r="EB153">
            <v>3.6117000000000004</v>
          </cell>
          <cell r="EC153">
            <v>0.59789800000000004</v>
          </cell>
          <cell r="ED153">
            <v>0.48958600000000002</v>
          </cell>
          <cell r="EE153">
            <v>0.29136299999999998</v>
          </cell>
          <cell r="EF153">
            <v>19.5776298</v>
          </cell>
          <cell r="EG153">
            <v>15.826436899999999</v>
          </cell>
          <cell r="EH153">
            <v>5.1189900000000002</v>
          </cell>
          <cell r="EI153">
            <v>1.81063</v>
          </cell>
          <cell r="EJ153">
            <v>1.3583100000000001</v>
          </cell>
          <cell r="EK153">
            <v>0.64006600000000002</v>
          </cell>
          <cell r="EL153">
            <v>25.772366000000002</v>
          </cell>
          <cell r="EM153">
            <v>6.1744899999999996</v>
          </cell>
          <cell r="EN153">
            <v>2.3292999999999999</v>
          </cell>
          <cell r="EO153">
            <v>0.98648000000000002</v>
          </cell>
          <cell r="EP153">
            <v>0.66607100000000008</v>
          </cell>
          <cell r="EQ153">
            <v>1.3990199999999999</v>
          </cell>
          <cell r="ER153">
            <v>5.5135000000000005</v>
          </cell>
          <cell r="ES153">
            <v>1.17496</v>
          </cell>
          <cell r="ET153">
            <v>0.26209199999999999</v>
          </cell>
          <cell r="EU153">
            <v>5.1696200000000005E-2</v>
          </cell>
          <cell r="EV153">
            <v>0.169237</v>
          </cell>
          <cell r="EW153">
            <v>0.31012000000000001</v>
          </cell>
          <cell r="EX153">
            <v>0</v>
          </cell>
          <cell r="EY153">
            <v>4.9491E-2</v>
          </cell>
          <cell r="EZ153" t="str">
            <v>nd</v>
          </cell>
          <cell r="FA153">
            <v>0</v>
          </cell>
          <cell r="FB153" t="str">
            <v>nd</v>
          </cell>
          <cell r="FC153">
            <v>0.37678299999999998</v>
          </cell>
          <cell r="FD153">
            <v>0.207871</v>
          </cell>
          <cell r="FE153">
            <v>2.4481699999999997</v>
          </cell>
          <cell r="FF153">
            <v>2.3175500000000002</v>
          </cell>
          <cell r="FG153">
            <v>3.7515600000000004</v>
          </cell>
          <cell r="FH153">
            <v>1.5830400000000002</v>
          </cell>
          <cell r="FI153">
            <v>1.2727199999999999</v>
          </cell>
          <cell r="FJ153">
            <v>3.3321299999999998</v>
          </cell>
          <cell r="FK153">
            <v>5.8692200000000003</v>
          </cell>
          <cell r="FL153">
            <v>9.9221591999999994</v>
          </cell>
          <cell r="FM153">
            <v>15.3043399</v>
          </cell>
          <cell r="FN153">
            <v>8.6307425000000002</v>
          </cell>
          <cell r="FO153">
            <v>0.66947000000000001</v>
          </cell>
          <cell r="FP153">
            <v>1.5742699999999998</v>
          </cell>
          <cell r="FQ153">
            <v>3.1852100000000001</v>
          </cell>
          <cell r="FR153">
            <v>6.5114961999999998</v>
          </cell>
          <cell r="FS153">
            <v>14.281396900000001</v>
          </cell>
          <cell r="FT153">
            <v>11.3087637</v>
          </cell>
          <cell r="FU153">
            <v>6.7447699999999999E-2</v>
          </cell>
          <cell r="FV153">
            <v>0.10481100000000002</v>
          </cell>
          <cell r="FW153">
            <v>0.69226299999999996</v>
          </cell>
          <cell r="FX153">
            <v>0.83450999999999997</v>
          </cell>
          <cell r="FY153">
            <v>3.1002999999999998</v>
          </cell>
          <cell r="FZ153">
            <v>2.5383200000000001</v>
          </cell>
          <cell r="GA153" t="str">
            <v>nd</v>
          </cell>
          <cell r="GB153">
            <v>0</v>
          </cell>
          <cell r="GC153">
            <v>0</v>
          </cell>
          <cell r="GD153" t="str">
            <v>nd</v>
          </cell>
          <cell r="GE153" t="str">
            <v>nd</v>
          </cell>
          <cell r="GF153">
            <v>0.25586500000000001</v>
          </cell>
          <cell r="GG153">
            <v>0.757274</v>
          </cell>
          <cell r="GH153">
            <v>0.73755899999999996</v>
          </cell>
          <cell r="GI153">
            <v>1.66211</v>
          </cell>
          <cell r="GJ153">
            <v>4.87521</v>
          </cell>
          <cell r="GK153">
            <v>2.7079</v>
          </cell>
          <cell r="GL153">
            <v>0.15473200000000001</v>
          </cell>
          <cell r="GM153">
            <v>0.53911200000000004</v>
          </cell>
          <cell r="GN153">
            <v>1.00698</v>
          </cell>
          <cell r="GO153">
            <v>4.4248900000000004</v>
          </cell>
          <cell r="GP153">
            <v>19.4060214</v>
          </cell>
          <cell r="GQ153">
            <v>18.523150399999999</v>
          </cell>
          <cell r="GR153" t="str">
            <v>nd</v>
          </cell>
          <cell r="GS153" t="str">
            <v>nd</v>
          </cell>
          <cell r="GT153">
            <v>0.33418599999999998</v>
          </cell>
          <cell r="GU153">
            <v>0.54464699999999999</v>
          </cell>
          <cell r="GV153">
            <v>13.962316299999999</v>
          </cell>
          <cell r="GW153">
            <v>22.807554199999998</v>
          </cell>
          <cell r="GX153">
            <v>0</v>
          </cell>
          <cell r="GY153" t="str">
            <v>nd</v>
          </cell>
          <cell r="GZ153">
            <v>0</v>
          </cell>
          <cell r="HA153">
            <v>0.27010699999999999</v>
          </cell>
          <cell r="HB153">
            <v>2.8083899999999997</v>
          </cell>
          <cell r="HC153">
            <v>3.95838</v>
          </cell>
          <cell r="HD153">
            <v>0</v>
          </cell>
          <cell r="HE153">
            <v>8.3446400000000004E-2</v>
          </cell>
          <cell r="HF153">
            <v>0</v>
          </cell>
          <cell r="HG153">
            <v>0</v>
          </cell>
          <cell r="HH153" t="str">
            <v>nd</v>
          </cell>
          <cell r="HI153">
            <v>0</v>
          </cell>
          <cell r="HJ153" t="str">
            <v>nd</v>
          </cell>
          <cell r="HK153">
            <v>0</v>
          </cell>
          <cell r="HL153">
            <v>1.0354699999999999</v>
          </cell>
          <cell r="HM153">
            <v>8.8645604999999996</v>
          </cell>
          <cell r="HN153">
            <v>1.1390799999999999</v>
          </cell>
          <cell r="HO153" t="str">
            <v>nd</v>
          </cell>
          <cell r="HP153">
            <v>0</v>
          </cell>
          <cell r="HQ153">
            <v>0.148226</v>
          </cell>
          <cell r="HR153">
            <v>2.55382</v>
          </cell>
          <cell r="HS153">
            <v>37.424127499999997</v>
          </cell>
          <cell r="HT153">
            <v>3.5775399999999999</v>
          </cell>
          <cell r="HU153" t="str">
            <v>nd</v>
          </cell>
          <cell r="HV153" t="str">
            <v>nd</v>
          </cell>
          <cell r="HW153">
            <v>0.21134600000000001</v>
          </cell>
          <cell r="HX153">
            <v>2.6443300000000001</v>
          </cell>
          <cell r="HY153">
            <v>29.242099500000002</v>
          </cell>
          <cell r="HZ153">
            <v>5.38401</v>
          </cell>
          <cell r="IA153">
            <v>0</v>
          </cell>
          <cell r="IB153">
            <v>0</v>
          </cell>
          <cell r="IC153" t="str">
            <v>nd</v>
          </cell>
          <cell r="ID153">
            <v>0.8653900000000001</v>
          </cell>
          <cell r="IE153">
            <v>5.3648800000000003</v>
          </cell>
          <cell r="IF153">
            <v>1.1192900000000001</v>
          </cell>
          <cell r="IG153">
            <v>0</v>
          </cell>
          <cell r="IH153">
            <v>4.9737399999999994E-2</v>
          </cell>
          <cell r="II153">
            <v>0</v>
          </cell>
          <cell r="IJ153" t="str">
            <v>nd</v>
          </cell>
          <cell r="IK153" t="str">
            <v>nd</v>
          </cell>
          <cell r="IL153">
            <v>0</v>
          </cell>
          <cell r="IM153" t="str">
            <v>nd</v>
          </cell>
          <cell r="IN153">
            <v>0.108795</v>
          </cell>
          <cell r="IO153">
            <v>1.54644</v>
          </cell>
          <cell r="IP153">
            <v>6.8314308000000006</v>
          </cell>
          <cell r="IQ153">
            <v>1.76702</v>
          </cell>
          <cell r="IR153">
            <v>0</v>
          </cell>
          <cell r="IS153">
            <v>0</v>
          </cell>
          <cell r="IT153">
            <v>0.30432900000000002</v>
          </cell>
          <cell r="IU153">
            <v>4.6560899999999998</v>
          </cell>
          <cell r="IV153">
            <v>32.351101399999997</v>
          </cell>
          <cell r="IW153">
            <v>6.9136768000000002</v>
          </cell>
          <cell r="IX153">
            <v>6.4199000000000006E-2</v>
          </cell>
          <cell r="IY153">
            <v>7.6302700000000001E-2</v>
          </cell>
          <cell r="IZ153">
            <v>0.35147800000000001</v>
          </cell>
          <cell r="JA153">
            <v>2.9597899999999999</v>
          </cell>
          <cell r="JB153">
            <v>26.1643595</v>
          </cell>
          <cell r="JC153">
            <v>8.3375837999999991</v>
          </cell>
          <cell r="JD153" t="str">
            <v>nd</v>
          </cell>
          <cell r="JE153">
            <v>0</v>
          </cell>
          <cell r="JF153">
            <v>0</v>
          </cell>
          <cell r="JG153">
            <v>0.76191699999999996</v>
          </cell>
          <cell r="JH153">
            <v>4.25291</v>
          </cell>
          <cell r="JI153">
            <v>2.39296</v>
          </cell>
          <cell r="JJ153">
            <v>0</v>
          </cell>
          <cell r="JK153">
            <v>0</v>
          </cell>
          <cell r="JL153">
            <v>0</v>
          </cell>
          <cell r="JM153">
            <v>0</v>
          </cell>
          <cell r="JN153">
            <v>0.11594800000000001</v>
          </cell>
          <cell r="JO153">
            <v>0</v>
          </cell>
          <cell r="JP153">
            <v>0</v>
          </cell>
          <cell r="JQ153">
            <v>0</v>
          </cell>
          <cell r="JR153" t="str">
            <v>nd</v>
          </cell>
          <cell r="JS153">
            <v>0.44443100000000002</v>
          </cell>
          <cell r="JT153">
            <v>10.2814613</v>
          </cell>
          <cell r="JU153">
            <v>0</v>
          </cell>
          <cell r="JV153">
            <v>0</v>
          </cell>
          <cell r="JW153" t="str">
            <v>nd</v>
          </cell>
          <cell r="JX153">
            <v>4.42431E-2</v>
          </cell>
          <cell r="JY153">
            <v>0.55365799999999998</v>
          </cell>
          <cell r="JZ153">
            <v>43.601573000000002</v>
          </cell>
          <cell r="KA153">
            <v>0</v>
          </cell>
          <cell r="KB153">
            <v>0</v>
          </cell>
          <cell r="KC153">
            <v>0</v>
          </cell>
          <cell r="KD153" t="str">
            <v>nd</v>
          </cell>
          <cell r="KE153">
            <v>0.39158300000000001</v>
          </cell>
          <cell r="KF153">
            <v>37.263179700000002</v>
          </cell>
          <cell r="KG153">
            <v>0</v>
          </cell>
          <cell r="KH153">
            <v>0</v>
          </cell>
          <cell r="KI153">
            <v>0</v>
          </cell>
          <cell r="KJ153">
            <v>0</v>
          </cell>
          <cell r="KK153">
            <v>9.3751899999999999E-2</v>
          </cell>
          <cell r="KL153">
            <v>7.1478387000000003</v>
          </cell>
          <cell r="KM153">
            <v>67.7</v>
          </cell>
          <cell r="KN153">
            <v>15.1</v>
          </cell>
          <cell r="KO153">
            <v>5.3</v>
          </cell>
          <cell r="KP153">
            <v>5.8999999999999995</v>
          </cell>
          <cell r="KQ153">
            <v>5.8000000000000007</v>
          </cell>
          <cell r="KR153">
            <v>0.1</v>
          </cell>
          <cell r="KS153">
            <v>65.8</v>
          </cell>
          <cell r="KT153">
            <v>15.8</v>
          </cell>
          <cell r="KU153">
            <v>5.7</v>
          </cell>
          <cell r="KV153">
            <v>6.3</v>
          </cell>
          <cell r="KW153">
            <v>6.3</v>
          </cell>
          <cell r="KX153">
            <v>0.1</v>
          </cell>
          <cell r="KY153"/>
          <cell r="KZ153"/>
          <cell r="LA153"/>
          <cell r="LB153"/>
          <cell r="LC153"/>
          <cell r="LD153"/>
          <cell r="LE153"/>
          <cell r="LF153"/>
          <cell r="LG153"/>
          <cell r="LH153"/>
          <cell r="LI153"/>
          <cell r="LJ153"/>
          <cell r="LK153"/>
          <cell r="LL153"/>
          <cell r="LM153"/>
          <cell r="LN153"/>
          <cell r="LO153"/>
        </row>
        <row r="154">
          <cell r="A154" t="str">
            <v>1ET2</v>
          </cell>
          <cell r="B154" t="str">
            <v>154</v>
          </cell>
          <cell r="C154" t="str">
            <v>NAF 4</v>
          </cell>
          <cell r="D154" t="str">
            <v>ET2</v>
          </cell>
          <cell r="E154" t="str">
            <v>1</v>
          </cell>
          <cell r="F154" t="str">
            <v>nd</v>
          </cell>
          <cell r="G154">
            <v>11.3</v>
          </cell>
          <cell r="H154">
            <v>37.700000000000003</v>
          </cell>
          <cell r="I154">
            <v>40.6</v>
          </cell>
          <cell r="J154">
            <v>10.100000000000001</v>
          </cell>
          <cell r="K154">
            <v>75.2</v>
          </cell>
          <cell r="L154">
            <v>8.7999999999999989</v>
          </cell>
          <cell r="M154">
            <v>8.4</v>
          </cell>
          <cell r="N154">
            <v>7.6</v>
          </cell>
          <cell r="O154">
            <v>21.099999999999998</v>
          </cell>
          <cell r="P154">
            <v>20.9</v>
          </cell>
          <cell r="Q154">
            <v>23.599999999999998</v>
          </cell>
          <cell r="R154">
            <v>4.1000000000000005</v>
          </cell>
          <cell r="S154">
            <v>13.900000000000002</v>
          </cell>
          <cell r="T154">
            <v>50.3</v>
          </cell>
          <cell r="U154">
            <v>4.9000000000000004</v>
          </cell>
          <cell r="V154">
            <v>13.5</v>
          </cell>
          <cell r="W154">
            <v>11.799999999999999</v>
          </cell>
          <cell r="X154">
            <v>83.2</v>
          </cell>
          <cell r="Y154">
            <v>5</v>
          </cell>
          <cell r="Z154" t="str">
            <v>nd</v>
          </cell>
          <cell r="AA154">
            <v>25</v>
          </cell>
          <cell r="AB154">
            <v>24.099999999999998</v>
          </cell>
          <cell r="AC154">
            <v>56.3</v>
          </cell>
          <cell r="AD154">
            <v>10.7</v>
          </cell>
          <cell r="AE154">
            <v>36.1</v>
          </cell>
          <cell r="AF154">
            <v>63.9</v>
          </cell>
          <cell r="AG154">
            <v>27.500000000000004</v>
          </cell>
          <cell r="AH154">
            <v>72.5</v>
          </cell>
          <cell r="AI154">
            <v>69.699999999999989</v>
          </cell>
          <cell r="AJ154" t="str">
            <v>nd</v>
          </cell>
          <cell r="AK154">
            <v>3.9</v>
          </cell>
          <cell r="AL154">
            <v>19.600000000000001</v>
          </cell>
          <cell r="AM154">
            <v>5.6000000000000005</v>
          </cell>
          <cell r="AN154" t="str">
            <v>nd</v>
          </cell>
          <cell r="AO154">
            <v>2.8000000000000003</v>
          </cell>
          <cell r="AP154" t="str">
            <v>nd</v>
          </cell>
          <cell r="AQ154">
            <v>92.2</v>
          </cell>
          <cell r="AR154" t="str">
            <v>nd</v>
          </cell>
          <cell r="AS154">
            <v>82.699999999999989</v>
          </cell>
          <cell r="AT154">
            <v>8.3000000000000007</v>
          </cell>
          <cell r="AU154">
            <v>2.1999999999999997</v>
          </cell>
          <cell r="AV154">
            <v>1.6</v>
          </cell>
          <cell r="AW154" t="str">
            <v>nd</v>
          </cell>
          <cell r="AX154">
            <v>4.5999999999999996</v>
          </cell>
          <cell r="AY154" t="str">
            <v>nd</v>
          </cell>
          <cell r="AZ154" t="str">
            <v>nd</v>
          </cell>
          <cell r="BA154" t="str">
            <v>nd</v>
          </cell>
          <cell r="BB154">
            <v>3</v>
          </cell>
          <cell r="BC154">
            <v>11.200000000000001</v>
          </cell>
          <cell r="BD154">
            <v>85.2</v>
          </cell>
          <cell r="BE154">
            <v>0.89999999999999991</v>
          </cell>
          <cell r="BF154">
            <v>1</v>
          </cell>
          <cell r="BG154">
            <v>2.9000000000000004</v>
          </cell>
          <cell r="BH154">
            <v>5.8999999999999995</v>
          </cell>
          <cell r="BI154">
            <v>12.5</v>
          </cell>
          <cell r="BJ154">
            <v>77</v>
          </cell>
          <cell r="BK154">
            <v>0</v>
          </cell>
          <cell r="BL154" t="str">
            <v>nd</v>
          </cell>
          <cell r="BM154" t="str">
            <v>nd</v>
          </cell>
          <cell r="BN154">
            <v>5.6000000000000005</v>
          </cell>
          <cell r="BO154">
            <v>40.6</v>
          </cell>
          <cell r="BP154">
            <v>52.1</v>
          </cell>
          <cell r="BQ154" t="str">
            <v>nd</v>
          </cell>
          <cell r="BR154">
            <v>0</v>
          </cell>
          <cell r="BS154">
            <v>2.5</v>
          </cell>
          <cell r="BT154">
            <v>6</v>
          </cell>
          <cell r="BU154">
            <v>32.1</v>
          </cell>
          <cell r="BV154">
            <v>59.199999999999996</v>
          </cell>
          <cell r="BW154">
            <v>0</v>
          </cell>
          <cell r="BX154">
            <v>0</v>
          </cell>
          <cell r="BY154">
            <v>0</v>
          </cell>
          <cell r="BZ154" t="str">
            <v>nd</v>
          </cell>
          <cell r="CA154">
            <v>2</v>
          </cell>
          <cell r="CB154">
            <v>97.899999999999991</v>
          </cell>
          <cell r="CC154">
            <v>13.4</v>
          </cell>
          <cell r="CD154">
            <v>5.2</v>
          </cell>
          <cell r="CE154">
            <v>1.6</v>
          </cell>
          <cell r="CF154">
            <v>4.8</v>
          </cell>
          <cell r="CG154" t="str">
            <v>nd</v>
          </cell>
          <cell r="CH154">
            <v>18</v>
          </cell>
          <cell r="CI154">
            <v>7.0000000000000009</v>
          </cell>
          <cell r="CJ154">
            <v>72.099999999999994</v>
          </cell>
          <cell r="CK154">
            <v>23.799999999999997</v>
          </cell>
          <cell r="CL154" t="str">
            <v>nd</v>
          </cell>
          <cell r="CM154" t="str">
            <v>nd</v>
          </cell>
          <cell r="CN154">
            <v>0</v>
          </cell>
          <cell r="CO154">
            <v>73.5</v>
          </cell>
          <cell r="CP154">
            <v>24.7</v>
          </cell>
          <cell r="CQ154">
            <v>37.6</v>
          </cell>
          <cell r="CR154">
            <v>12.2</v>
          </cell>
          <cell r="CS154">
            <v>25.6</v>
          </cell>
          <cell r="CT154">
            <v>10.7</v>
          </cell>
          <cell r="CU154">
            <v>89.3</v>
          </cell>
          <cell r="CV154">
            <v>16.5</v>
          </cell>
          <cell r="CW154">
            <v>83.5</v>
          </cell>
          <cell r="CX154">
            <v>14.399999999999999</v>
          </cell>
          <cell r="CY154">
            <v>35.4</v>
          </cell>
          <cell r="CZ154">
            <v>50.2</v>
          </cell>
          <cell r="DA154">
            <v>26.200000000000003</v>
          </cell>
          <cell r="DB154">
            <v>30.5</v>
          </cell>
          <cell r="DC154">
            <v>13.5</v>
          </cell>
          <cell r="DD154" t="str">
            <v>nd</v>
          </cell>
          <cell r="DE154">
            <v>40.400000000000006</v>
          </cell>
          <cell r="DF154">
            <v>18.399999999999999</v>
          </cell>
          <cell r="DG154">
            <v>7.3999999999999995</v>
          </cell>
          <cell r="DH154">
            <v>15</v>
          </cell>
          <cell r="DI154">
            <v>12.6</v>
          </cell>
          <cell r="DJ154">
            <v>21.2</v>
          </cell>
          <cell r="DK154">
            <v>25.4</v>
          </cell>
          <cell r="DL154">
            <v>21</v>
          </cell>
          <cell r="DM154">
            <v>50.2</v>
          </cell>
          <cell r="DN154">
            <v>4</v>
          </cell>
          <cell r="DO154">
            <v>13.5</v>
          </cell>
          <cell r="DP154">
            <v>3.9</v>
          </cell>
          <cell r="DQ154">
            <v>0</v>
          </cell>
          <cell r="DR154">
            <v>16.7</v>
          </cell>
          <cell r="DS154">
            <v>6.7</v>
          </cell>
          <cell r="DT154">
            <v>15.299999999999999</v>
          </cell>
          <cell r="DU154" t="str">
            <v>nd</v>
          </cell>
          <cell r="DV154">
            <v>0</v>
          </cell>
          <cell r="DW154">
            <v>0</v>
          </cell>
          <cell r="DX154">
            <v>0</v>
          </cell>
          <cell r="DY154">
            <v>0</v>
          </cell>
          <cell r="DZ154">
            <v>7.8922192000000004</v>
          </cell>
          <cell r="EA154">
            <v>2.0629399999999998</v>
          </cell>
          <cell r="EB154" t="str">
            <v>nd</v>
          </cell>
          <cell r="EC154" t="str">
            <v>nd</v>
          </cell>
          <cell r="ED154">
            <v>0</v>
          </cell>
          <cell r="EE154" t="str">
            <v>nd</v>
          </cell>
          <cell r="EF154">
            <v>29.425464999999999</v>
          </cell>
          <cell r="EG154">
            <v>3.9058000000000002</v>
          </cell>
          <cell r="EH154">
            <v>1.80233</v>
          </cell>
          <cell r="EI154">
            <v>0.92838999999999994</v>
          </cell>
          <cell r="EJ154">
            <v>0</v>
          </cell>
          <cell r="EK154">
            <v>0.88042999999999993</v>
          </cell>
          <cell r="EL154">
            <v>36.181153000000002</v>
          </cell>
          <cell r="EM154">
            <v>1.5862000000000001</v>
          </cell>
          <cell r="EN154" t="str">
            <v>nd</v>
          </cell>
          <cell r="EO154" t="str">
            <v>nd</v>
          </cell>
          <cell r="EP154" t="str">
            <v>nd</v>
          </cell>
          <cell r="EQ154">
            <v>2.5428600000000001</v>
          </cell>
          <cell r="ER154">
            <v>8.8407333000000001</v>
          </cell>
          <cell r="ES154" t="str">
            <v>nd</v>
          </cell>
          <cell r="ET154">
            <v>0</v>
          </cell>
          <cell r="EU154" t="str">
            <v>nd</v>
          </cell>
          <cell r="EV154">
            <v>0</v>
          </cell>
          <cell r="EW154">
            <v>0</v>
          </cell>
          <cell r="EX154">
            <v>0</v>
          </cell>
          <cell r="EY154" t="str">
            <v>nd</v>
          </cell>
          <cell r="EZ154">
            <v>0</v>
          </cell>
          <cell r="FA154">
            <v>0</v>
          </cell>
          <cell r="FB154">
            <v>0</v>
          </cell>
          <cell r="FC154">
            <v>0</v>
          </cell>
          <cell r="FD154">
            <v>0</v>
          </cell>
          <cell r="FE154">
            <v>0</v>
          </cell>
          <cell r="FF154" t="str">
            <v>nd</v>
          </cell>
          <cell r="FG154">
            <v>2.4996100000000001</v>
          </cell>
          <cell r="FH154">
            <v>7.8777977999999997</v>
          </cell>
          <cell r="FI154" t="str">
            <v>nd</v>
          </cell>
          <cell r="FJ154" t="str">
            <v>nd</v>
          </cell>
          <cell r="FK154" t="str">
            <v>nd</v>
          </cell>
          <cell r="FL154">
            <v>1.3035100000000002</v>
          </cell>
          <cell r="FM154">
            <v>5.5438399999999994</v>
          </cell>
          <cell r="FN154">
            <v>29.279226800000004</v>
          </cell>
          <cell r="FO154">
            <v>0</v>
          </cell>
          <cell r="FP154">
            <v>0</v>
          </cell>
          <cell r="FQ154">
            <v>0</v>
          </cell>
          <cell r="FR154" t="str">
            <v>nd</v>
          </cell>
          <cell r="FS154">
            <v>1.8809699999999998</v>
          </cell>
          <cell r="FT154">
            <v>41.296638299999998</v>
          </cell>
          <cell r="FU154">
            <v>0</v>
          </cell>
          <cell r="FV154">
            <v>0</v>
          </cell>
          <cell r="FW154">
            <v>0</v>
          </cell>
          <cell r="FX154" t="str">
            <v>nd</v>
          </cell>
          <cell r="FY154">
            <v>1.08805</v>
          </cell>
          <cell r="FZ154">
            <v>6.7147372999999995</v>
          </cell>
          <cell r="GA154">
            <v>0</v>
          </cell>
          <cell r="GB154">
            <v>0</v>
          </cell>
          <cell r="GC154">
            <v>0</v>
          </cell>
          <cell r="GD154">
            <v>0</v>
          </cell>
          <cell r="GE154" t="str">
            <v>nd</v>
          </cell>
          <cell r="GF154">
            <v>0.61046499999999992</v>
          </cell>
          <cell r="GG154">
            <v>0.9131999999999999</v>
          </cell>
          <cell r="GH154" t="str">
            <v>nd</v>
          </cell>
          <cell r="GI154">
            <v>2.0739000000000001</v>
          </cell>
          <cell r="GJ154">
            <v>2.4071199999999999</v>
          </cell>
          <cell r="GK154">
            <v>5.8748100000000001</v>
          </cell>
          <cell r="GL154" t="str">
            <v>nd</v>
          </cell>
          <cell r="GM154" t="str">
            <v>nd</v>
          </cell>
          <cell r="GN154">
            <v>1.8051999999999999</v>
          </cell>
          <cell r="GO154">
            <v>2.66743</v>
          </cell>
          <cell r="GP154">
            <v>6.1683300000000001</v>
          </cell>
          <cell r="GQ154">
            <v>24.811382000000002</v>
          </cell>
          <cell r="GR154">
            <v>0</v>
          </cell>
          <cell r="GS154">
            <v>0</v>
          </cell>
          <cell r="GT154" t="str">
            <v>nd</v>
          </cell>
          <cell r="GU154" t="str">
            <v>nd</v>
          </cell>
          <cell r="GV154">
            <v>3.4629399999999997</v>
          </cell>
          <cell r="GW154">
            <v>38.334555399999999</v>
          </cell>
          <cell r="GX154">
            <v>0</v>
          </cell>
          <cell r="GY154">
            <v>0</v>
          </cell>
          <cell r="GZ154">
            <v>0</v>
          </cell>
          <cell r="HA154">
            <v>0</v>
          </cell>
          <cell r="HB154" t="str">
            <v>nd</v>
          </cell>
          <cell r="HC154">
            <v>7.6186344000000004</v>
          </cell>
          <cell r="HD154">
            <v>0</v>
          </cell>
          <cell r="HE154" t="str">
            <v>nd</v>
          </cell>
          <cell r="HF154">
            <v>0</v>
          </cell>
          <cell r="HG154">
            <v>0</v>
          </cell>
          <cell r="HH154">
            <v>0</v>
          </cell>
          <cell r="HI154">
            <v>0</v>
          </cell>
          <cell r="HJ154">
            <v>0</v>
          </cell>
          <cell r="HK154">
            <v>0</v>
          </cell>
          <cell r="HL154" t="str">
            <v>nd</v>
          </cell>
          <cell r="HM154">
            <v>4.2696699999999996</v>
          </cell>
          <cell r="HN154">
            <v>6.9245424</v>
          </cell>
          <cell r="HO154">
            <v>0</v>
          </cell>
          <cell r="HP154">
            <v>0</v>
          </cell>
          <cell r="HQ154">
            <v>0</v>
          </cell>
          <cell r="HR154">
            <v>2.05267</v>
          </cell>
          <cell r="HS154">
            <v>17.995555499999998</v>
          </cell>
          <cell r="HT154">
            <v>15.968108300000001</v>
          </cell>
          <cell r="HU154">
            <v>0</v>
          </cell>
          <cell r="HV154" t="str">
            <v>nd</v>
          </cell>
          <cell r="HW154" t="str">
            <v>nd</v>
          </cell>
          <cell r="HX154">
            <v>1.9799799999999999</v>
          </cell>
          <cell r="HY154">
            <v>14.923417899999999</v>
          </cell>
          <cell r="HZ154">
            <v>23.705736999999999</v>
          </cell>
          <cell r="IA154">
            <v>0</v>
          </cell>
          <cell r="IB154">
            <v>0</v>
          </cell>
          <cell r="IC154" t="str">
            <v>nd</v>
          </cell>
          <cell r="ID154">
            <v>1.32483</v>
          </cell>
          <cell r="IE154">
            <v>3.8921400000000004</v>
          </cell>
          <cell r="IF154">
            <v>4.6856599999999995</v>
          </cell>
          <cell r="IG154">
            <v>0</v>
          </cell>
          <cell r="IH154" t="str">
            <v>nd</v>
          </cell>
          <cell r="II154">
            <v>0</v>
          </cell>
          <cell r="IJ154">
            <v>0</v>
          </cell>
          <cell r="IK154">
            <v>0</v>
          </cell>
          <cell r="IL154">
            <v>0</v>
          </cell>
          <cell r="IM154">
            <v>0</v>
          </cell>
          <cell r="IN154">
            <v>0</v>
          </cell>
          <cell r="IO154" t="str">
            <v>nd</v>
          </cell>
          <cell r="IP154">
            <v>3.4447699999999997</v>
          </cell>
          <cell r="IQ154">
            <v>6.354493999999999</v>
          </cell>
          <cell r="IR154">
            <v>0</v>
          </cell>
          <cell r="IS154">
            <v>0</v>
          </cell>
          <cell r="IT154" t="str">
            <v>nd</v>
          </cell>
          <cell r="IU154">
            <v>3.3459400000000001</v>
          </cell>
          <cell r="IV154">
            <v>12.391384199999999</v>
          </cell>
          <cell r="IW154">
            <v>18.9056581</v>
          </cell>
          <cell r="IX154" t="str">
            <v>nd</v>
          </cell>
          <cell r="IY154">
            <v>0</v>
          </cell>
          <cell r="IZ154" t="str">
            <v>nd</v>
          </cell>
          <cell r="JA154">
            <v>2.4745900000000001</v>
          </cell>
          <cell r="JB154">
            <v>10.7656983</v>
          </cell>
          <cell r="JC154">
            <v>28.536658299999999</v>
          </cell>
          <cell r="JD154">
            <v>0</v>
          </cell>
          <cell r="JE154">
            <v>0</v>
          </cell>
          <cell r="JF154">
            <v>0</v>
          </cell>
          <cell r="JG154">
            <v>0</v>
          </cell>
          <cell r="JH154">
            <v>4.1360599999999996</v>
          </cell>
          <cell r="JI154">
            <v>6.1117699999999999</v>
          </cell>
          <cell r="JJ154">
            <v>0</v>
          </cell>
          <cell r="JK154">
            <v>0</v>
          </cell>
          <cell r="JL154">
            <v>0</v>
          </cell>
          <cell r="JM154">
            <v>0</v>
          </cell>
          <cell r="JN154" t="str">
            <v>nd</v>
          </cell>
          <cell r="JO154">
            <v>0</v>
          </cell>
          <cell r="JP154">
            <v>0</v>
          </cell>
          <cell r="JQ154">
            <v>0</v>
          </cell>
          <cell r="JR154" t="str">
            <v>nd</v>
          </cell>
          <cell r="JS154">
            <v>0</v>
          </cell>
          <cell r="JT154">
            <v>11.0049279</v>
          </cell>
          <cell r="JU154">
            <v>0</v>
          </cell>
          <cell r="JV154">
            <v>0</v>
          </cell>
          <cell r="JW154">
            <v>0</v>
          </cell>
          <cell r="JX154">
            <v>0</v>
          </cell>
          <cell r="JY154">
            <v>1.8821600000000001</v>
          </cell>
          <cell r="JZ154">
            <v>34.092860700000003</v>
          </cell>
          <cell r="KA154">
            <v>0</v>
          </cell>
          <cell r="KB154">
            <v>0</v>
          </cell>
          <cell r="KC154">
            <v>0</v>
          </cell>
          <cell r="KD154">
            <v>0</v>
          </cell>
          <cell r="KE154">
            <v>0</v>
          </cell>
          <cell r="KF154">
            <v>43.560090500000001</v>
          </cell>
          <cell r="KG154">
            <v>0</v>
          </cell>
          <cell r="KH154">
            <v>0</v>
          </cell>
          <cell r="KI154">
            <v>0</v>
          </cell>
          <cell r="KJ154">
            <v>0</v>
          </cell>
          <cell r="KK154" t="str">
            <v>nd</v>
          </cell>
          <cell r="KL154">
            <v>8.8702442000000001</v>
          </cell>
          <cell r="KM154">
            <v>84.3</v>
          </cell>
          <cell r="KN154">
            <v>1.4000000000000001</v>
          </cell>
          <cell r="KO154">
            <v>5.3</v>
          </cell>
          <cell r="KP154">
            <v>4.5</v>
          </cell>
          <cell r="KQ154">
            <v>4.3999999999999995</v>
          </cell>
          <cell r="KR154">
            <v>0.1</v>
          </cell>
          <cell r="KS154">
            <v>83.6</v>
          </cell>
          <cell r="KT154">
            <v>1.6</v>
          </cell>
          <cell r="KU154">
            <v>5.5</v>
          </cell>
          <cell r="KV154">
            <v>4.7</v>
          </cell>
          <cell r="KW154">
            <v>4.5999999999999996</v>
          </cell>
          <cell r="KX154">
            <v>0.1</v>
          </cell>
          <cell r="KY154"/>
          <cell r="KZ154"/>
          <cell r="LA154"/>
          <cell r="LB154"/>
          <cell r="LC154"/>
          <cell r="LD154"/>
          <cell r="LE154"/>
          <cell r="LF154"/>
          <cell r="LG154"/>
          <cell r="LH154"/>
          <cell r="LI154"/>
          <cell r="LJ154"/>
          <cell r="LK154"/>
          <cell r="LL154"/>
          <cell r="LM154"/>
          <cell r="LN154"/>
          <cell r="LO154"/>
        </row>
        <row r="155">
          <cell r="A155" t="str">
            <v>2ET2</v>
          </cell>
          <cell r="B155" t="str">
            <v>155</v>
          </cell>
          <cell r="C155" t="str">
            <v>NAF 4</v>
          </cell>
          <cell r="D155" t="str">
            <v>ET2</v>
          </cell>
          <cell r="E155" t="str">
            <v>2</v>
          </cell>
          <cell r="F155">
            <v>0.5</v>
          </cell>
          <cell r="G155">
            <v>7.5</v>
          </cell>
          <cell r="H155">
            <v>39.200000000000003</v>
          </cell>
          <cell r="I155">
            <v>40.699999999999996</v>
          </cell>
          <cell r="J155">
            <v>12.1</v>
          </cell>
          <cell r="K155">
            <v>76.3</v>
          </cell>
          <cell r="L155">
            <v>10.100000000000001</v>
          </cell>
          <cell r="M155">
            <v>10.100000000000001</v>
          </cell>
          <cell r="N155">
            <v>3.4000000000000004</v>
          </cell>
          <cell r="O155">
            <v>26.400000000000002</v>
          </cell>
          <cell r="P155">
            <v>18.099999999999998</v>
          </cell>
          <cell r="Q155">
            <v>20.399999999999999</v>
          </cell>
          <cell r="R155">
            <v>9.4</v>
          </cell>
          <cell r="S155">
            <v>11.4</v>
          </cell>
          <cell r="T155">
            <v>44.9</v>
          </cell>
          <cell r="U155">
            <v>3.9</v>
          </cell>
          <cell r="V155">
            <v>16.2</v>
          </cell>
          <cell r="W155">
            <v>12.4</v>
          </cell>
          <cell r="X155">
            <v>85.3</v>
          </cell>
          <cell r="Y155">
            <v>2.2999999999999998</v>
          </cell>
          <cell r="Z155">
            <v>15.8</v>
          </cell>
          <cell r="AA155">
            <v>35.799999999999997</v>
          </cell>
          <cell r="AB155">
            <v>16.7</v>
          </cell>
          <cell r="AC155">
            <v>29.2</v>
          </cell>
          <cell r="AD155">
            <v>25</v>
          </cell>
          <cell r="AE155">
            <v>47.9</v>
          </cell>
          <cell r="AF155">
            <v>52.1</v>
          </cell>
          <cell r="AG155">
            <v>51.2</v>
          </cell>
          <cell r="AH155">
            <v>48.8</v>
          </cell>
          <cell r="AI155">
            <v>66.5</v>
          </cell>
          <cell r="AJ155" t="str">
            <v>nd</v>
          </cell>
          <cell r="AK155">
            <v>1.9</v>
          </cell>
          <cell r="AL155">
            <v>28.499999999999996</v>
          </cell>
          <cell r="AM155">
            <v>2.2999999999999998</v>
          </cell>
          <cell r="AN155">
            <v>9.1999999999999993</v>
          </cell>
          <cell r="AO155">
            <v>3.5999999999999996</v>
          </cell>
          <cell r="AP155">
            <v>1.9</v>
          </cell>
          <cell r="AQ155">
            <v>84.5</v>
          </cell>
          <cell r="AR155">
            <v>0.8</v>
          </cell>
          <cell r="AS155">
            <v>69.599999999999994</v>
          </cell>
          <cell r="AT155">
            <v>13</v>
          </cell>
          <cell r="AU155">
            <v>4.2</v>
          </cell>
          <cell r="AV155">
            <v>2.9000000000000004</v>
          </cell>
          <cell r="AW155">
            <v>3.9</v>
          </cell>
          <cell r="AX155">
            <v>6.4</v>
          </cell>
          <cell r="AY155">
            <v>1.7999999999999998</v>
          </cell>
          <cell r="AZ155">
            <v>1.3</v>
          </cell>
          <cell r="BA155">
            <v>0.89999999999999991</v>
          </cell>
          <cell r="BB155">
            <v>4.3999999999999995</v>
          </cell>
          <cell r="BC155">
            <v>31.4</v>
          </cell>
          <cell r="BD155">
            <v>60.199999999999996</v>
          </cell>
          <cell r="BE155">
            <v>1</v>
          </cell>
          <cell r="BF155">
            <v>1.2</v>
          </cell>
          <cell r="BG155">
            <v>1.7999999999999998</v>
          </cell>
          <cell r="BH155">
            <v>5.8000000000000007</v>
          </cell>
          <cell r="BI155">
            <v>23</v>
          </cell>
          <cell r="BJ155">
            <v>67.300000000000011</v>
          </cell>
          <cell r="BK155" t="str">
            <v>nd</v>
          </cell>
          <cell r="BL155" t="str">
            <v>nd</v>
          </cell>
          <cell r="BM155" t="str">
            <v>nd</v>
          </cell>
          <cell r="BN155">
            <v>9.8000000000000007</v>
          </cell>
          <cell r="BO155">
            <v>56.399999999999991</v>
          </cell>
          <cell r="BP155">
            <v>32.1</v>
          </cell>
          <cell r="BQ155" t="str">
            <v>nd</v>
          </cell>
          <cell r="BR155" t="str">
            <v>nd</v>
          </cell>
          <cell r="BS155">
            <v>1.5</v>
          </cell>
          <cell r="BT155">
            <v>5.2</v>
          </cell>
          <cell r="BU155">
            <v>44.2</v>
          </cell>
          <cell r="BV155">
            <v>48.6</v>
          </cell>
          <cell r="BW155">
            <v>0</v>
          </cell>
          <cell r="BX155">
            <v>0</v>
          </cell>
          <cell r="BY155" t="str">
            <v>nd</v>
          </cell>
          <cell r="BZ155">
            <v>0</v>
          </cell>
          <cell r="CA155">
            <v>1</v>
          </cell>
          <cell r="CB155">
            <v>98.8</v>
          </cell>
          <cell r="CC155">
            <v>19.2</v>
          </cell>
          <cell r="CD155">
            <v>13.700000000000001</v>
          </cell>
          <cell r="CE155">
            <v>2.1</v>
          </cell>
          <cell r="CF155">
            <v>3.5999999999999996</v>
          </cell>
          <cell r="CG155" t="str">
            <v>nd</v>
          </cell>
          <cell r="CH155">
            <v>23</v>
          </cell>
          <cell r="CI155">
            <v>10.4</v>
          </cell>
          <cell r="CJ155">
            <v>57.499999999999993</v>
          </cell>
          <cell r="CK155">
            <v>32.9</v>
          </cell>
          <cell r="CL155">
            <v>2.6</v>
          </cell>
          <cell r="CM155">
            <v>1.7999999999999998</v>
          </cell>
          <cell r="CN155">
            <v>1.2</v>
          </cell>
          <cell r="CO155">
            <v>64.900000000000006</v>
          </cell>
          <cell r="CP155">
            <v>26.1</v>
          </cell>
          <cell r="CQ155">
            <v>37.200000000000003</v>
          </cell>
          <cell r="CR155">
            <v>8.3000000000000007</v>
          </cell>
          <cell r="CS155">
            <v>28.4</v>
          </cell>
          <cell r="CT155">
            <v>11.200000000000001</v>
          </cell>
          <cell r="CU155">
            <v>88.8</v>
          </cell>
          <cell r="CV155">
            <v>11.5</v>
          </cell>
          <cell r="CW155">
            <v>88.5</v>
          </cell>
          <cell r="CX155">
            <v>13.100000000000001</v>
          </cell>
          <cell r="CY155">
            <v>38.5</v>
          </cell>
          <cell r="CZ155">
            <v>48.4</v>
          </cell>
          <cell r="DA155">
            <v>17.100000000000001</v>
          </cell>
          <cell r="DB155">
            <v>13.8</v>
          </cell>
          <cell r="DC155">
            <v>26</v>
          </cell>
          <cell r="DD155" t="str">
            <v>nd</v>
          </cell>
          <cell r="DE155">
            <v>52</v>
          </cell>
          <cell r="DF155">
            <v>16.8</v>
          </cell>
          <cell r="DG155">
            <v>6.8000000000000007</v>
          </cell>
          <cell r="DH155">
            <v>18.5</v>
          </cell>
          <cell r="DI155">
            <v>12.8</v>
          </cell>
          <cell r="DJ155">
            <v>20.5</v>
          </cell>
          <cell r="DK155">
            <v>24.5</v>
          </cell>
          <cell r="DL155">
            <v>23.200000000000003</v>
          </cell>
          <cell r="DM155">
            <v>49.6</v>
          </cell>
          <cell r="DN155">
            <v>4.3999999999999995</v>
          </cell>
          <cell r="DO155">
            <v>11.200000000000001</v>
          </cell>
          <cell r="DP155">
            <v>3.4000000000000004</v>
          </cell>
          <cell r="DQ155" t="str">
            <v>nd</v>
          </cell>
          <cell r="DR155">
            <v>14.099999999999998</v>
          </cell>
          <cell r="DS155">
            <v>9.3000000000000007</v>
          </cell>
          <cell r="DT155">
            <v>13.200000000000001</v>
          </cell>
          <cell r="DU155">
            <v>0</v>
          </cell>
          <cell r="DV155" t="str">
            <v>nd</v>
          </cell>
          <cell r="DW155" t="str">
            <v>nd</v>
          </cell>
          <cell r="DX155">
            <v>0</v>
          </cell>
          <cell r="DY155" t="str">
            <v>nd</v>
          </cell>
          <cell r="DZ155">
            <v>2.9746999999999999</v>
          </cell>
          <cell r="EA155">
            <v>2.7324100000000002</v>
          </cell>
          <cell r="EB155">
            <v>1.89157</v>
          </cell>
          <cell r="EC155">
            <v>0</v>
          </cell>
          <cell r="ED155">
            <v>0</v>
          </cell>
          <cell r="EE155">
            <v>0</v>
          </cell>
          <cell r="EF155">
            <v>25.493086699999999</v>
          </cell>
          <cell r="EG155">
            <v>6.7397904999999998</v>
          </cell>
          <cell r="EH155">
            <v>1.99413</v>
          </cell>
          <cell r="EI155">
            <v>2.55132</v>
          </cell>
          <cell r="EJ155">
            <v>1.7709599999999999</v>
          </cell>
          <cell r="EK155">
            <v>1.5018099999999999</v>
          </cell>
          <cell r="EL155">
            <v>31.889914099999999</v>
          </cell>
          <cell r="EM155">
            <v>2.2156100000000003</v>
          </cell>
          <cell r="EN155" t="str">
            <v>nd</v>
          </cell>
          <cell r="EO155" t="str">
            <v>nd</v>
          </cell>
          <cell r="EP155">
            <v>1.1466799999999999</v>
          </cell>
          <cell r="EQ155">
            <v>3.9971000000000001</v>
          </cell>
          <cell r="ER155">
            <v>9.2009042000000001</v>
          </cell>
          <cell r="ES155">
            <v>1.36443</v>
          </cell>
          <cell r="ET155" t="str">
            <v>nd</v>
          </cell>
          <cell r="EU155">
            <v>0</v>
          </cell>
          <cell r="EV155" t="str">
            <v>nd</v>
          </cell>
          <cell r="EW155">
            <v>0.73724400000000001</v>
          </cell>
          <cell r="EX155">
            <v>0</v>
          </cell>
          <cell r="EY155">
            <v>0</v>
          </cell>
          <cell r="EZ155" t="str">
            <v>nd</v>
          </cell>
          <cell r="FA155">
            <v>0</v>
          </cell>
          <cell r="FB155" t="str">
            <v>nd</v>
          </cell>
          <cell r="FC155">
            <v>0</v>
          </cell>
          <cell r="FD155" t="str">
            <v>nd</v>
          </cell>
          <cell r="FE155" t="str">
            <v>nd</v>
          </cell>
          <cell r="FF155">
            <v>1.1436599999999999</v>
          </cell>
          <cell r="FG155">
            <v>2.6982300000000001</v>
          </cell>
          <cell r="FH155">
            <v>2.6249899999999999</v>
          </cell>
          <cell r="FI155">
            <v>0.90188000000000001</v>
          </cell>
          <cell r="FJ155" t="str">
            <v>nd</v>
          </cell>
          <cell r="FK155" t="str">
            <v>nd</v>
          </cell>
          <cell r="FL155">
            <v>1.93205</v>
          </cell>
          <cell r="FM155">
            <v>14.669757300000001</v>
          </cell>
          <cell r="FN155">
            <v>22.838416299999999</v>
          </cell>
          <cell r="FO155">
            <v>0.76012999999999997</v>
          </cell>
          <cell r="FP155" t="str">
            <v>nd</v>
          </cell>
          <cell r="FQ155" t="str">
            <v>nd</v>
          </cell>
          <cell r="FR155">
            <v>1.01749</v>
          </cell>
          <cell r="FS155">
            <v>9.2689862000000005</v>
          </cell>
          <cell r="FT155">
            <v>27.7180885</v>
          </cell>
          <cell r="FU155" t="str">
            <v>nd</v>
          </cell>
          <cell r="FV155">
            <v>0</v>
          </cell>
          <cell r="FW155" t="str">
            <v>nd</v>
          </cell>
          <cell r="FX155" t="str">
            <v>nd</v>
          </cell>
          <cell r="FY155">
            <v>4.7579599999999997</v>
          </cell>
          <cell r="FZ155">
            <v>6.5133390000000002</v>
          </cell>
          <cell r="GA155" t="str">
            <v>nd</v>
          </cell>
          <cell r="GB155">
            <v>0</v>
          </cell>
          <cell r="GC155">
            <v>0</v>
          </cell>
          <cell r="GD155" t="str">
            <v>nd</v>
          </cell>
          <cell r="GE155">
            <v>0</v>
          </cell>
          <cell r="GF155" t="str">
            <v>nd</v>
          </cell>
          <cell r="GG155">
            <v>0.92931000000000008</v>
          </cell>
          <cell r="GH155">
            <v>1.1408700000000001</v>
          </cell>
          <cell r="GI155">
            <v>0.77199399999999996</v>
          </cell>
          <cell r="GJ155">
            <v>2.3990100000000001</v>
          </cell>
          <cell r="GK155">
            <v>2.13158</v>
          </cell>
          <cell r="GL155" t="str">
            <v>nd</v>
          </cell>
          <cell r="GM155">
            <v>0</v>
          </cell>
          <cell r="GN155">
            <v>0.69544600000000001</v>
          </cell>
          <cell r="GO155">
            <v>4.9263599999999999</v>
          </cell>
          <cell r="GP155">
            <v>9.8822887999999995</v>
          </cell>
          <cell r="GQ155">
            <v>24.485719100000001</v>
          </cell>
          <cell r="GR155">
            <v>0</v>
          </cell>
          <cell r="GS155">
            <v>0</v>
          </cell>
          <cell r="GT155">
            <v>0</v>
          </cell>
          <cell r="GU155">
            <v>0</v>
          </cell>
          <cell r="GV155">
            <v>7.2996360999999998</v>
          </cell>
          <cell r="GW155">
            <v>32.361708999999998</v>
          </cell>
          <cell r="GX155">
            <v>0</v>
          </cell>
          <cell r="GY155">
            <v>0</v>
          </cell>
          <cell r="GZ155">
            <v>0</v>
          </cell>
          <cell r="HA155">
            <v>0</v>
          </cell>
          <cell r="HB155">
            <v>3.3736099999999998</v>
          </cell>
          <cell r="HC155">
            <v>8.2842775</v>
          </cell>
          <cell r="HD155">
            <v>0</v>
          </cell>
          <cell r="HE155" t="str">
            <v>nd</v>
          </cell>
          <cell r="HF155">
            <v>0</v>
          </cell>
          <cell r="HG155">
            <v>0</v>
          </cell>
          <cell r="HH155" t="str">
            <v>nd</v>
          </cell>
          <cell r="HI155">
            <v>0</v>
          </cell>
          <cell r="HJ155" t="str">
            <v>nd</v>
          </cell>
          <cell r="HK155">
            <v>0</v>
          </cell>
          <cell r="HL155">
            <v>1.24082</v>
          </cell>
          <cell r="HM155">
            <v>3.83345</v>
          </cell>
          <cell r="HN155">
            <v>1.90106</v>
          </cell>
          <cell r="HO155" t="str">
            <v>nd</v>
          </cell>
          <cell r="HP155">
            <v>0</v>
          </cell>
          <cell r="HQ155" t="str">
            <v>nd</v>
          </cell>
          <cell r="HR155">
            <v>4.9209100000000001</v>
          </cell>
          <cell r="HS155">
            <v>22.0167997</v>
          </cell>
          <cell r="HT155">
            <v>11.6400831</v>
          </cell>
          <cell r="HU155">
            <v>0</v>
          </cell>
          <cell r="HV155">
            <v>0</v>
          </cell>
          <cell r="HW155">
            <v>0</v>
          </cell>
          <cell r="HX155">
            <v>2.9558599999999999</v>
          </cell>
          <cell r="HY155">
            <v>23.2502058</v>
          </cell>
          <cell r="HZ155">
            <v>13.791436900000001</v>
          </cell>
          <cell r="IA155">
            <v>0</v>
          </cell>
          <cell r="IB155">
            <v>0</v>
          </cell>
          <cell r="IC155">
            <v>0</v>
          </cell>
          <cell r="ID155" t="str">
            <v>nd</v>
          </cell>
          <cell r="IE155">
            <v>7.0225024999999999</v>
          </cell>
          <cell r="IF155">
            <v>4.5386999999999995</v>
          </cell>
          <cell r="IG155">
            <v>0</v>
          </cell>
          <cell r="IH155">
            <v>0</v>
          </cell>
          <cell r="II155">
            <v>0</v>
          </cell>
          <cell r="IJ155" t="str">
            <v>nd</v>
          </cell>
          <cell r="IK155" t="str">
            <v>nd</v>
          </cell>
          <cell r="IL155">
            <v>0</v>
          </cell>
          <cell r="IM155">
            <v>0</v>
          </cell>
          <cell r="IN155">
            <v>0</v>
          </cell>
          <cell r="IO155">
            <v>1.1557200000000001</v>
          </cell>
          <cell r="IP155">
            <v>3.5043100000000003</v>
          </cell>
          <cell r="IQ155">
            <v>2.8749199999999999</v>
          </cell>
          <cell r="IR155">
            <v>0</v>
          </cell>
          <cell r="IS155">
            <v>0</v>
          </cell>
          <cell r="IT155">
            <v>1.14019</v>
          </cell>
          <cell r="IU155">
            <v>2.1086800000000001</v>
          </cell>
          <cell r="IV155">
            <v>18.3220144</v>
          </cell>
          <cell r="IW155">
            <v>18.843632499999998</v>
          </cell>
          <cell r="IX155" t="str">
            <v>nd</v>
          </cell>
          <cell r="IY155" t="str">
            <v>nd</v>
          </cell>
          <cell r="IZ155" t="str">
            <v>nd</v>
          </cell>
          <cell r="JA155" t="str">
            <v>nd</v>
          </cell>
          <cell r="JB155">
            <v>18.599784199999998</v>
          </cell>
          <cell r="JC155">
            <v>19.660163900000001</v>
          </cell>
          <cell r="JD155">
            <v>0</v>
          </cell>
          <cell r="JE155">
            <v>0</v>
          </cell>
          <cell r="JF155">
            <v>0</v>
          </cell>
          <cell r="JG155">
            <v>1.1986699999999999</v>
          </cell>
          <cell r="JH155">
            <v>3.7469200000000003</v>
          </cell>
          <cell r="JI155">
            <v>6.7552843999999999</v>
          </cell>
          <cell r="JJ155">
            <v>0</v>
          </cell>
          <cell r="JK155">
            <v>0</v>
          </cell>
          <cell r="JL155">
            <v>0</v>
          </cell>
          <cell r="JM155">
            <v>0</v>
          </cell>
          <cell r="JN155">
            <v>0.54480799999999996</v>
          </cell>
          <cell r="JO155">
            <v>0</v>
          </cell>
          <cell r="JP155">
            <v>0</v>
          </cell>
          <cell r="JQ155">
            <v>0</v>
          </cell>
          <cell r="JR155">
            <v>0</v>
          </cell>
          <cell r="JS155">
            <v>0</v>
          </cell>
          <cell r="JT155">
            <v>7.5749445</v>
          </cell>
          <cell r="JU155">
            <v>0</v>
          </cell>
          <cell r="JV155">
            <v>0</v>
          </cell>
          <cell r="JW155" t="str">
            <v>nd</v>
          </cell>
          <cell r="JX155">
            <v>0</v>
          </cell>
          <cell r="JY155" t="str">
            <v>nd</v>
          </cell>
          <cell r="JZ155">
            <v>40.244633499999999</v>
          </cell>
          <cell r="KA155">
            <v>0</v>
          </cell>
          <cell r="KB155">
            <v>0</v>
          </cell>
          <cell r="KC155">
            <v>0</v>
          </cell>
          <cell r="KD155">
            <v>0</v>
          </cell>
          <cell r="KE155" t="str">
            <v>nd</v>
          </cell>
          <cell r="KF155">
            <v>39.0679686</v>
          </cell>
          <cell r="KG155">
            <v>0</v>
          </cell>
          <cell r="KH155">
            <v>0</v>
          </cell>
          <cell r="KI155">
            <v>0</v>
          </cell>
          <cell r="KJ155">
            <v>0</v>
          </cell>
          <cell r="KK155" t="str">
            <v>nd</v>
          </cell>
          <cell r="KL155">
            <v>11.3849848</v>
          </cell>
          <cell r="KM155">
            <v>77</v>
          </cell>
          <cell r="KN155">
            <v>5.3</v>
          </cell>
          <cell r="KO155">
            <v>4.5999999999999996</v>
          </cell>
          <cell r="KP155">
            <v>7.8</v>
          </cell>
          <cell r="KQ155">
            <v>5.0999999999999996</v>
          </cell>
          <cell r="KR155">
            <v>0.2</v>
          </cell>
          <cell r="KS155">
            <v>75.900000000000006</v>
          </cell>
          <cell r="KT155">
            <v>5.5</v>
          </cell>
          <cell r="KU155">
            <v>4.8</v>
          </cell>
          <cell r="KV155">
            <v>8.3000000000000007</v>
          </cell>
          <cell r="KW155">
            <v>5.2</v>
          </cell>
          <cell r="KX155">
            <v>0.1</v>
          </cell>
          <cell r="KY155"/>
          <cell r="KZ155"/>
          <cell r="LA155"/>
          <cell r="LB155"/>
          <cell r="LC155"/>
          <cell r="LD155"/>
          <cell r="LE155"/>
          <cell r="LF155"/>
          <cell r="LG155"/>
          <cell r="LH155"/>
          <cell r="LI155"/>
          <cell r="LJ155"/>
          <cell r="LK155"/>
          <cell r="LL155"/>
          <cell r="LM155"/>
          <cell r="LN155"/>
          <cell r="LO155"/>
        </row>
        <row r="156">
          <cell r="A156" t="str">
            <v>3ET2</v>
          </cell>
          <cell r="B156" t="str">
            <v>156</v>
          </cell>
          <cell r="C156" t="str">
            <v>NAF 4</v>
          </cell>
          <cell r="D156" t="str">
            <v>ET2</v>
          </cell>
          <cell r="E156" t="str">
            <v>3</v>
          </cell>
          <cell r="F156">
            <v>0</v>
          </cell>
          <cell r="G156">
            <v>10.9</v>
          </cell>
          <cell r="H156">
            <v>39</v>
          </cell>
          <cell r="I156">
            <v>40</v>
          </cell>
          <cell r="J156">
            <v>10.100000000000001</v>
          </cell>
          <cell r="K156">
            <v>79.600000000000009</v>
          </cell>
          <cell r="L156">
            <v>4</v>
          </cell>
          <cell r="M156">
            <v>11.700000000000001</v>
          </cell>
          <cell r="N156">
            <v>4.5999999999999996</v>
          </cell>
          <cell r="O156">
            <v>29.7</v>
          </cell>
          <cell r="P156">
            <v>20.9</v>
          </cell>
          <cell r="Q156">
            <v>21</v>
          </cell>
          <cell r="R156">
            <v>7.0000000000000009</v>
          </cell>
          <cell r="S156">
            <v>12</v>
          </cell>
          <cell r="T156">
            <v>45.800000000000004</v>
          </cell>
          <cell r="U156">
            <v>2.1</v>
          </cell>
          <cell r="V156">
            <v>22.900000000000002</v>
          </cell>
          <cell r="W156">
            <v>14.799999999999999</v>
          </cell>
          <cell r="X156">
            <v>79.5</v>
          </cell>
          <cell r="Y156">
            <v>5.7</v>
          </cell>
          <cell r="Z156">
            <v>22.5</v>
          </cell>
          <cell r="AA156">
            <v>40.6</v>
          </cell>
          <cell r="AB156">
            <v>18.8</v>
          </cell>
          <cell r="AC156">
            <v>45.7</v>
          </cell>
          <cell r="AD156">
            <v>25.4</v>
          </cell>
          <cell r="AE156">
            <v>65.8</v>
          </cell>
          <cell r="AF156">
            <v>34.200000000000003</v>
          </cell>
          <cell r="AG156">
            <v>60.5</v>
          </cell>
          <cell r="AH156">
            <v>39.5</v>
          </cell>
          <cell r="AI156">
            <v>53.800000000000004</v>
          </cell>
          <cell r="AJ156">
            <v>3.2</v>
          </cell>
          <cell r="AK156">
            <v>3.4000000000000004</v>
          </cell>
          <cell r="AL156">
            <v>35.099999999999994</v>
          </cell>
          <cell r="AM156">
            <v>4.5999999999999996</v>
          </cell>
          <cell r="AN156">
            <v>10.7</v>
          </cell>
          <cell r="AO156">
            <v>5</v>
          </cell>
          <cell r="AP156">
            <v>1.7000000000000002</v>
          </cell>
          <cell r="AQ156">
            <v>79.800000000000011</v>
          </cell>
          <cell r="AR156">
            <v>2.9000000000000004</v>
          </cell>
          <cell r="AS156">
            <v>68.600000000000009</v>
          </cell>
          <cell r="AT156">
            <v>18.7</v>
          </cell>
          <cell r="AU156">
            <v>5.3</v>
          </cell>
          <cell r="AV156">
            <v>2.2999999999999998</v>
          </cell>
          <cell r="AW156">
            <v>3</v>
          </cell>
          <cell r="AX156">
            <v>2.1</v>
          </cell>
          <cell r="AY156">
            <v>0.5</v>
          </cell>
          <cell r="AZ156">
            <v>1.2</v>
          </cell>
          <cell r="BA156">
            <v>3.9</v>
          </cell>
          <cell r="BB156">
            <v>10.8</v>
          </cell>
          <cell r="BC156">
            <v>42</v>
          </cell>
          <cell r="BD156">
            <v>41.6</v>
          </cell>
          <cell r="BE156">
            <v>1</v>
          </cell>
          <cell r="BF156">
            <v>1.2</v>
          </cell>
          <cell r="BG156">
            <v>4</v>
          </cell>
          <cell r="BH156">
            <v>6.4</v>
          </cell>
          <cell r="BI156">
            <v>35.6</v>
          </cell>
          <cell r="BJ156">
            <v>51.800000000000004</v>
          </cell>
          <cell r="BK156">
            <v>0</v>
          </cell>
          <cell r="BL156">
            <v>0</v>
          </cell>
          <cell r="BM156" t="str">
            <v>nd</v>
          </cell>
          <cell r="BN156">
            <v>6.4</v>
          </cell>
          <cell r="BO156">
            <v>76.900000000000006</v>
          </cell>
          <cell r="BP156">
            <v>16.3</v>
          </cell>
          <cell r="BQ156">
            <v>0</v>
          </cell>
          <cell r="BR156">
            <v>0</v>
          </cell>
          <cell r="BS156" t="str">
            <v>nd</v>
          </cell>
          <cell r="BT156">
            <v>6.5</v>
          </cell>
          <cell r="BU156">
            <v>60.3</v>
          </cell>
          <cell r="BV156">
            <v>32</v>
          </cell>
          <cell r="BW156">
            <v>0</v>
          </cell>
          <cell r="BX156">
            <v>0</v>
          </cell>
          <cell r="BY156">
            <v>0</v>
          </cell>
          <cell r="BZ156">
            <v>0</v>
          </cell>
          <cell r="CA156">
            <v>1.4000000000000001</v>
          </cell>
          <cell r="CB156">
            <v>98.6</v>
          </cell>
          <cell r="CC156">
            <v>19.900000000000002</v>
          </cell>
          <cell r="CD156">
            <v>6.5</v>
          </cell>
          <cell r="CE156">
            <v>0.4</v>
          </cell>
          <cell r="CF156">
            <v>1.2</v>
          </cell>
          <cell r="CG156">
            <v>0.70000000000000007</v>
          </cell>
          <cell r="CH156">
            <v>18.8</v>
          </cell>
          <cell r="CI156">
            <v>8.1</v>
          </cell>
          <cell r="CJ156">
            <v>63</v>
          </cell>
          <cell r="CK156">
            <v>36</v>
          </cell>
          <cell r="CL156">
            <v>5.2</v>
          </cell>
          <cell r="CM156">
            <v>1</v>
          </cell>
          <cell r="CN156" t="str">
            <v>nd</v>
          </cell>
          <cell r="CO156">
            <v>61.8</v>
          </cell>
          <cell r="CP156">
            <v>26.700000000000003</v>
          </cell>
          <cell r="CQ156">
            <v>35.699999999999996</v>
          </cell>
          <cell r="CR156">
            <v>9.9</v>
          </cell>
          <cell r="CS156">
            <v>27.700000000000003</v>
          </cell>
          <cell r="CT156">
            <v>13</v>
          </cell>
          <cell r="CU156">
            <v>87</v>
          </cell>
          <cell r="CV156">
            <v>17</v>
          </cell>
          <cell r="CW156">
            <v>83</v>
          </cell>
          <cell r="CX156">
            <v>16.7</v>
          </cell>
          <cell r="CY156">
            <v>46</v>
          </cell>
          <cell r="CZ156">
            <v>37.4</v>
          </cell>
          <cell r="DA156">
            <v>28.199999999999996</v>
          </cell>
          <cell r="DB156">
            <v>4.5</v>
          </cell>
          <cell r="DC156">
            <v>23.7</v>
          </cell>
          <cell r="DD156">
            <v>0</v>
          </cell>
          <cell r="DE156">
            <v>57.099999999999994</v>
          </cell>
          <cell r="DF156">
            <v>22.7</v>
          </cell>
          <cell r="DG156">
            <v>3.3000000000000003</v>
          </cell>
          <cell r="DH156">
            <v>13.200000000000001</v>
          </cell>
          <cell r="DI156">
            <v>15.299999999999999</v>
          </cell>
          <cell r="DJ156">
            <v>26.700000000000003</v>
          </cell>
          <cell r="DK156">
            <v>18.899999999999999</v>
          </cell>
          <cell r="DL156">
            <v>24.5</v>
          </cell>
          <cell r="DM156">
            <v>49.5</v>
          </cell>
          <cell r="DN156">
            <v>6.4</v>
          </cell>
          <cell r="DO156">
            <v>12.4</v>
          </cell>
          <cell r="DP156">
            <v>4.9000000000000004</v>
          </cell>
          <cell r="DQ156" t="str">
            <v>nd</v>
          </cell>
          <cell r="DR156">
            <v>17.399999999999999</v>
          </cell>
          <cell r="DS156">
            <v>11.899999999999999</v>
          </cell>
          <cell r="DT156">
            <v>14.000000000000002</v>
          </cell>
          <cell r="DU156">
            <v>0</v>
          </cell>
          <cell r="DV156">
            <v>0</v>
          </cell>
          <cell r="DW156">
            <v>0</v>
          </cell>
          <cell r="DX156">
            <v>0</v>
          </cell>
          <cell r="DY156">
            <v>0</v>
          </cell>
          <cell r="DZ156">
            <v>3.2639799999999997</v>
          </cell>
          <cell r="EA156">
            <v>4.0178400000000005</v>
          </cell>
          <cell r="EB156">
            <v>1.87632</v>
          </cell>
          <cell r="EC156">
            <v>1.22834</v>
          </cell>
          <cell r="ED156" t="str">
            <v>nd</v>
          </cell>
          <cell r="EE156">
            <v>0</v>
          </cell>
          <cell r="EF156">
            <v>24.1677967</v>
          </cell>
          <cell r="EG156">
            <v>10.507578500000001</v>
          </cell>
          <cell r="EH156">
            <v>2.6950099999999999</v>
          </cell>
          <cell r="EI156" t="str">
            <v>nd</v>
          </cell>
          <cell r="EJ156">
            <v>1.45425</v>
          </cell>
          <cell r="EK156" t="str">
            <v>nd</v>
          </cell>
          <cell r="EL156">
            <v>32.031641399999998</v>
          </cell>
          <cell r="EM156">
            <v>3.9210700000000003</v>
          </cell>
          <cell r="EN156" t="str">
            <v>nd</v>
          </cell>
          <cell r="EO156">
            <v>0.63950499999999999</v>
          </cell>
          <cell r="EP156">
            <v>0.75571600000000005</v>
          </cell>
          <cell r="EQ156">
            <v>1.66228</v>
          </cell>
          <cell r="ER156">
            <v>9.1427589999999999</v>
          </cell>
          <cell r="ES156">
            <v>0.23481399999999999</v>
          </cell>
          <cell r="ET156" t="str">
            <v>nd</v>
          </cell>
          <cell r="EU156">
            <v>0</v>
          </cell>
          <cell r="EV156" t="str">
            <v>nd</v>
          </cell>
          <cell r="EW156" t="str">
            <v>nd</v>
          </cell>
          <cell r="EX156">
            <v>0</v>
          </cell>
          <cell r="EY156">
            <v>0</v>
          </cell>
          <cell r="EZ156">
            <v>0</v>
          </cell>
          <cell r="FA156">
            <v>0</v>
          </cell>
          <cell r="FB156">
            <v>0</v>
          </cell>
          <cell r="FC156">
            <v>0</v>
          </cell>
          <cell r="FD156" t="str">
            <v>nd</v>
          </cell>
          <cell r="FE156">
            <v>0.84877999999999998</v>
          </cell>
          <cell r="FF156">
            <v>1.78203</v>
          </cell>
          <cell r="FG156">
            <v>6.19109</v>
          </cell>
          <cell r="FH156">
            <v>2.0627599999999999</v>
          </cell>
          <cell r="FI156" t="str">
            <v>nd</v>
          </cell>
          <cell r="FJ156" t="str">
            <v>nd</v>
          </cell>
          <cell r="FK156">
            <v>1.2707299999999999</v>
          </cell>
          <cell r="FL156">
            <v>5.1152999999999995</v>
          </cell>
          <cell r="FM156">
            <v>18.2376489</v>
          </cell>
          <cell r="FN156">
            <v>13.851247299999999</v>
          </cell>
          <cell r="FO156" t="str">
            <v>nd</v>
          </cell>
          <cell r="FP156">
            <v>0.87562000000000006</v>
          </cell>
          <cell r="FQ156">
            <v>1.80437</v>
          </cell>
          <cell r="FR156">
            <v>3.0803699999999998</v>
          </cell>
          <cell r="FS156">
            <v>13.885237399999999</v>
          </cell>
          <cell r="FT156">
            <v>20.010811400000001</v>
          </cell>
          <cell r="FU156">
            <v>0</v>
          </cell>
          <cell r="FV156">
            <v>0</v>
          </cell>
          <cell r="FW156">
            <v>0</v>
          </cell>
          <cell r="FX156" t="str">
            <v>nd</v>
          </cell>
          <cell r="FY156">
            <v>3.87724</v>
          </cell>
          <cell r="FZ156">
            <v>5.4574299999999996</v>
          </cell>
          <cell r="GA156">
            <v>0</v>
          </cell>
          <cell r="GB156">
            <v>0</v>
          </cell>
          <cell r="GC156">
            <v>0</v>
          </cell>
          <cell r="GD156">
            <v>0</v>
          </cell>
          <cell r="GE156">
            <v>0</v>
          </cell>
          <cell r="GF156" t="str">
            <v>nd</v>
          </cell>
          <cell r="GG156" t="str">
            <v>nd</v>
          </cell>
          <cell r="GH156" t="str">
            <v>nd</v>
          </cell>
          <cell r="GI156">
            <v>2.9513199999999999</v>
          </cell>
          <cell r="GJ156">
            <v>3.7291699999999999</v>
          </cell>
          <cell r="GK156">
            <v>2.6979800000000003</v>
          </cell>
          <cell r="GL156" t="str">
            <v>nd</v>
          </cell>
          <cell r="GM156" t="str">
            <v>nd</v>
          </cell>
          <cell r="GN156">
            <v>2.06657</v>
          </cell>
          <cell r="GO156">
            <v>2.85</v>
          </cell>
          <cell r="GP156">
            <v>15.093197499999999</v>
          </cell>
          <cell r="GQ156">
            <v>18.122352799999998</v>
          </cell>
          <cell r="GR156">
            <v>0</v>
          </cell>
          <cell r="GS156">
            <v>0</v>
          </cell>
          <cell r="GT156" t="str">
            <v>nd</v>
          </cell>
          <cell r="GU156" t="str">
            <v>nd</v>
          </cell>
          <cell r="GV156">
            <v>14.415593800000002</v>
          </cell>
          <cell r="GW156">
            <v>23.629030100000001</v>
          </cell>
          <cell r="GX156">
            <v>0</v>
          </cell>
          <cell r="GY156">
            <v>0</v>
          </cell>
          <cell r="GZ156">
            <v>0</v>
          </cell>
          <cell r="HA156">
            <v>0</v>
          </cell>
          <cell r="HB156">
            <v>2.5466599999999997</v>
          </cell>
          <cell r="HC156">
            <v>7.1853794999999998</v>
          </cell>
          <cell r="HD156">
            <v>0</v>
          </cell>
          <cell r="HE156">
            <v>0</v>
          </cell>
          <cell r="HF156">
            <v>0</v>
          </cell>
          <cell r="HG156">
            <v>0</v>
          </cell>
          <cell r="HH156">
            <v>0</v>
          </cell>
          <cell r="HI156">
            <v>0</v>
          </cell>
          <cell r="HJ156">
            <v>0</v>
          </cell>
          <cell r="HK156">
            <v>0</v>
          </cell>
          <cell r="HL156" t="str">
            <v>nd</v>
          </cell>
          <cell r="HM156">
            <v>7.8242046999999992</v>
          </cell>
          <cell r="HN156">
            <v>2.8710800000000001</v>
          </cell>
          <cell r="HO156">
            <v>0</v>
          </cell>
          <cell r="HP156">
            <v>0</v>
          </cell>
          <cell r="HQ156" t="str">
            <v>nd</v>
          </cell>
          <cell r="HR156">
            <v>2.08372</v>
          </cell>
          <cell r="HS156">
            <v>33.4729405</v>
          </cell>
          <cell r="HT156">
            <v>3.4062000000000001</v>
          </cell>
          <cell r="HU156">
            <v>0</v>
          </cell>
          <cell r="HV156">
            <v>0</v>
          </cell>
          <cell r="HW156">
            <v>0</v>
          </cell>
          <cell r="HX156">
            <v>2.4651999999999998</v>
          </cell>
          <cell r="HY156">
            <v>28.185456299999998</v>
          </cell>
          <cell r="HZ156">
            <v>8.9291986000000012</v>
          </cell>
          <cell r="IA156">
            <v>0</v>
          </cell>
          <cell r="IB156">
            <v>0</v>
          </cell>
          <cell r="IC156">
            <v>0</v>
          </cell>
          <cell r="ID156">
            <v>1.4398500000000001</v>
          </cell>
          <cell r="IE156">
            <v>7.2968621999999996</v>
          </cell>
          <cell r="IF156">
            <v>1.1935</v>
          </cell>
          <cell r="IG156">
            <v>0</v>
          </cell>
          <cell r="IH156">
            <v>0</v>
          </cell>
          <cell r="II156">
            <v>0</v>
          </cell>
          <cell r="IJ156">
            <v>0</v>
          </cell>
          <cell r="IK156">
            <v>0</v>
          </cell>
          <cell r="IL156">
            <v>0</v>
          </cell>
          <cell r="IM156">
            <v>0</v>
          </cell>
          <cell r="IN156" t="str">
            <v>nd</v>
          </cell>
          <cell r="IO156" t="str">
            <v>nd</v>
          </cell>
          <cell r="IP156">
            <v>5.4990499999999995</v>
          </cell>
          <cell r="IQ156">
            <v>4.5095400000000003</v>
          </cell>
          <cell r="IR156">
            <v>0</v>
          </cell>
          <cell r="IS156">
            <v>0</v>
          </cell>
          <cell r="IT156" t="str">
            <v>nd</v>
          </cell>
          <cell r="IU156">
            <v>2.3961699999999997</v>
          </cell>
          <cell r="IV156">
            <v>23.1295322</v>
          </cell>
          <cell r="IW156">
            <v>13.130492899999998</v>
          </cell>
          <cell r="IX156">
            <v>0</v>
          </cell>
          <cell r="IY156">
            <v>0</v>
          </cell>
          <cell r="IZ156">
            <v>0</v>
          </cell>
          <cell r="JA156">
            <v>3.3277300000000003</v>
          </cell>
          <cell r="JB156">
            <v>24.582405600000001</v>
          </cell>
          <cell r="JC156">
            <v>12.0811236</v>
          </cell>
          <cell r="JD156">
            <v>0</v>
          </cell>
          <cell r="JE156">
            <v>0</v>
          </cell>
          <cell r="JF156">
            <v>0</v>
          </cell>
          <cell r="JG156" t="str">
            <v>nd</v>
          </cell>
          <cell r="JH156">
            <v>7.1182433000000005</v>
          </cell>
          <cell r="JI156">
            <v>2.31826</v>
          </cell>
          <cell r="JJ156">
            <v>0</v>
          </cell>
          <cell r="JK156">
            <v>0</v>
          </cell>
          <cell r="JL156">
            <v>0</v>
          </cell>
          <cell r="JM156">
            <v>0</v>
          </cell>
          <cell r="JN156">
            <v>0</v>
          </cell>
          <cell r="JO156">
            <v>0</v>
          </cell>
          <cell r="JP156">
            <v>0</v>
          </cell>
          <cell r="JQ156">
            <v>0</v>
          </cell>
          <cell r="JR156">
            <v>0</v>
          </cell>
          <cell r="JS156" t="str">
            <v>nd</v>
          </cell>
          <cell r="JT156">
            <v>10.778501499999999</v>
          </cell>
          <cell r="JU156">
            <v>0</v>
          </cell>
          <cell r="JV156">
            <v>0</v>
          </cell>
          <cell r="JW156">
            <v>0</v>
          </cell>
          <cell r="JX156">
            <v>0</v>
          </cell>
          <cell r="JY156" t="str">
            <v>nd</v>
          </cell>
          <cell r="JZ156">
            <v>38.831576200000001</v>
          </cell>
          <cell r="KA156">
            <v>0</v>
          </cell>
          <cell r="KB156">
            <v>0</v>
          </cell>
          <cell r="KC156">
            <v>0</v>
          </cell>
          <cell r="KD156">
            <v>0</v>
          </cell>
          <cell r="KE156" t="str">
            <v>nd</v>
          </cell>
          <cell r="KF156">
            <v>39.469818499999995</v>
          </cell>
          <cell r="KG156">
            <v>0</v>
          </cell>
          <cell r="KH156">
            <v>0</v>
          </cell>
          <cell r="KI156">
            <v>0</v>
          </cell>
          <cell r="KJ156">
            <v>0</v>
          </cell>
          <cell r="KK156" t="str">
            <v>nd</v>
          </cell>
          <cell r="KL156">
            <v>9.5624886</v>
          </cell>
          <cell r="KM156">
            <v>75.5</v>
          </cell>
          <cell r="KN156">
            <v>6.7</v>
          </cell>
          <cell r="KO156">
            <v>6.9</v>
          </cell>
          <cell r="KP156">
            <v>6</v>
          </cell>
          <cell r="KQ156">
            <v>4.9000000000000004</v>
          </cell>
          <cell r="KR156">
            <v>0.1</v>
          </cell>
          <cell r="KS156">
            <v>74.2</v>
          </cell>
          <cell r="KT156">
            <v>7.1999999999999993</v>
          </cell>
          <cell r="KU156">
            <v>7.0000000000000009</v>
          </cell>
          <cell r="KV156">
            <v>6.3</v>
          </cell>
          <cell r="KW156">
            <v>5.2</v>
          </cell>
          <cell r="KX156">
            <v>0.1</v>
          </cell>
          <cell r="KY156"/>
          <cell r="KZ156"/>
          <cell r="LA156"/>
          <cell r="LB156"/>
          <cell r="LC156"/>
          <cell r="LD156"/>
          <cell r="LE156"/>
          <cell r="LF156"/>
          <cell r="LG156"/>
          <cell r="LH156"/>
          <cell r="LI156"/>
          <cell r="LJ156"/>
          <cell r="LK156"/>
          <cell r="LL156"/>
          <cell r="LM156"/>
          <cell r="LN156"/>
          <cell r="LO156"/>
        </row>
        <row r="157">
          <cell r="A157" t="str">
            <v>4ET2</v>
          </cell>
          <cell r="B157" t="str">
            <v>157</v>
          </cell>
          <cell r="C157" t="str">
            <v>NAF 4</v>
          </cell>
          <cell r="D157" t="str">
            <v>ET2</v>
          </cell>
          <cell r="E157" t="str">
            <v>4</v>
          </cell>
          <cell r="F157">
            <v>0.4</v>
          </cell>
          <cell r="G157">
            <v>8.2000000000000011</v>
          </cell>
          <cell r="H157">
            <v>42.5</v>
          </cell>
          <cell r="I157">
            <v>39.5</v>
          </cell>
          <cell r="J157">
            <v>9.5</v>
          </cell>
          <cell r="K157">
            <v>77.2</v>
          </cell>
          <cell r="L157">
            <v>7.3999999999999995</v>
          </cell>
          <cell r="M157">
            <v>9.6</v>
          </cell>
          <cell r="N157">
            <v>5.8000000000000007</v>
          </cell>
          <cell r="O157">
            <v>32.1</v>
          </cell>
          <cell r="P157">
            <v>23.400000000000002</v>
          </cell>
          <cell r="Q157">
            <v>20.8</v>
          </cell>
          <cell r="R157">
            <v>7.3999999999999995</v>
          </cell>
          <cell r="S157">
            <v>12.9</v>
          </cell>
          <cell r="T157">
            <v>44.3</v>
          </cell>
          <cell r="U157">
            <v>3.1</v>
          </cell>
          <cell r="V157">
            <v>19.7</v>
          </cell>
          <cell r="W157">
            <v>12.8</v>
          </cell>
          <cell r="X157">
            <v>82.6</v>
          </cell>
          <cell r="Y157">
            <v>4.5999999999999996</v>
          </cell>
          <cell r="Z157">
            <v>12.1</v>
          </cell>
          <cell r="AA157">
            <v>56.499999999999993</v>
          </cell>
          <cell r="AB157">
            <v>25</v>
          </cell>
          <cell r="AC157">
            <v>62.9</v>
          </cell>
          <cell r="AD157">
            <v>19.400000000000002</v>
          </cell>
          <cell r="AE157">
            <v>71.3</v>
          </cell>
          <cell r="AF157">
            <v>28.7</v>
          </cell>
          <cell r="AG157">
            <v>77.2</v>
          </cell>
          <cell r="AH157">
            <v>22.8</v>
          </cell>
          <cell r="AI157">
            <v>53.900000000000006</v>
          </cell>
          <cell r="AJ157">
            <v>2.2999999999999998</v>
          </cell>
          <cell r="AK157">
            <v>1.5</v>
          </cell>
          <cell r="AL157">
            <v>36</v>
          </cell>
          <cell r="AM157">
            <v>6.3</v>
          </cell>
          <cell r="AN157">
            <v>15.8</v>
          </cell>
          <cell r="AO157">
            <v>3.6999999999999997</v>
          </cell>
          <cell r="AP157">
            <v>5.5</v>
          </cell>
          <cell r="AQ157">
            <v>68.5</v>
          </cell>
          <cell r="AR157">
            <v>6.6000000000000005</v>
          </cell>
          <cell r="AS157">
            <v>62.2</v>
          </cell>
          <cell r="AT157">
            <v>21.5</v>
          </cell>
          <cell r="AU157">
            <v>7.3999999999999995</v>
          </cell>
          <cell r="AV157">
            <v>2.4</v>
          </cell>
          <cell r="AW157">
            <v>2.1999999999999997</v>
          </cell>
          <cell r="AX157">
            <v>4.2</v>
          </cell>
          <cell r="AY157">
            <v>1.4000000000000001</v>
          </cell>
          <cell r="AZ157">
            <v>3.1</v>
          </cell>
          <cell r="BA157">
            <v>6</v>
          </cell>
          <cell r="BB157">
            <v>16.5</v>
          </cell>
          <cell r="BC157">
            <v>49.4</v>
          </cell>
          <cell r="BD157">
            <v>23.599999999999998</v>
          </cell>
          <cell r="BE157">
            <v>0.5</v>
          </cell>
          <cell r="BF157">
            <v>1.9</v>
          </cell>
          <cell r="BG157">
            <v>2.4</v>
          </cell>
          <cell r="BH157">
            <v>9.7000000000000011</v>
          </cell>
          <cell r="BI157">
            <v>43.3</v>
          </cell>
          <cell r="BJ157">
            <v>42.199999999999996</v>
          </cell>
          <cell r="BK157">
            <v>0</v>
          </cell>
          <cell r="BL157">
            <v>0</v>
          </cell>
          <cell r="BM157">
            <v>0.3</v>
          </cell>
          <cell r="BN157">
            <v>7.1</v>
          </cell>
          <cell r="BO157">
            <v>86.4</v>
          </cell>
          <cell r="BP157">
            <v>6.2</v>
          </cell>
          <cell r="BQ157" t="str">
            <v>nd</v>
          </cell>
          <cell r="BR157" t="str">
            <v>nd</v>
          </cell>
          <cell r="BS157">
            <v>0.5</v>
          </cell>
          <cell r="BT157">
            <v>11.5</v>
          </cell>
          <cell r="BU157">
            <v>69.599999999999994</v>
          </cell>
          <cell r="BV157">
            <v>18</v>
          </cell>
          <cell r="BW157">
            <v>0</v>
          </cell>
          <cell r="BX157">
            <v>0</v>
          </cell>
          <cell r="BY157">
            <v>0</v>
          </cell>
          <cell r="BZ157" t="str">
            <v>nd</v>
          </cell>
          <cell r="CA157" t="str">
            <v>nd</v>
          </cell>
          <cell r="CB157">
            <v>99.8</v>
          </cell>
          <cell r="CC157">
            <v>25.7</v>
          </cell>
          <cell r="CD157">
            <v>14.099999999999998</v>
          </cell>
          <cell r="CE157">
            <v>1.5</v>
          </cell>
          <cell r="CF157">
            <v>1.3</v>
          </cell>
          <cell r="CG157">
            <v>0.4</v>
          </cell>
          <cell r="CH157">
            <v>18</v>
          </cell>
          <cell r="CI157">
            <v>5.5</v>
          </cell>
          <cell r="CJ157">
            <v>53.6</v>
          </cell>
          <cell r="CK157">
            <v>42.4</v>
          </cell>
          <cell r="CL157">
            <v>7.1</v>
          </cell>
          <cell r="CM157">
            <v>3.1</v>
          </cell>
          <cell r="CN157">
            <v>1.5</v>
          </cell>
          <cell r="CO157">
            <v>55.400000000000006</v>
          </cell>
          <cell r="CP157">
            <v>19.400000000000002</v>
          </cell>
          <cell r="CQ157">
            <v>38.4</v>
          </cell>
          <cell r="CR157">
            <v>9.7000000000000011</v>
          </cell>
          <cell r="CS157">
            <v>32.5</v>
          </cell>
          <cell r="CT157">
            <v>12.9</v>
          </cell>
          <cell r="CU157">
            <v>87.1</v>
          </cell>
          <cell r="CV157">
            <v>14.7</v>
          </cell>
          <cell r="CW157">
            <v>85.3</v>
          </cell>
          <cell r="CX157">
            <v>19.2</v>
          </cell>
          <cell r="CY157">
            <v>41.199999999999996</v>
          </cell>
          <cell r="CZ157">
            <v>39.6</v>
          </cell>
          <cell r="DA157">
            <v>34.9</v>
          </cell>
          <cell r="DB157">
            <v>3.5999999999999996</v>
          </cell>
          <cell r="DC157">
            <v>6.6000000000000005</v>
          </cell>
          <cell r="DD157">
            <v>1.7999999999999998</v>
          </cell>
          <cell r="DE157">
            <v>66.900000000000006</v>
          </cell>
          <cell r="DF157">
            <v>20.200000000000003</v>
          </cell>
          <cell r="DG157">
            <v>8.1</v>
          </cell>
          <cell r="DH157">
            <v>11.1</v>
          </cell>
          <cell r="DI157">
            <v>12.5</v>
          </cell>
          <cell r="DJ157">
            <v>25.6</v>
          </cell>
          <cell r="DK157">
            <v>22.400000000000002</v>
          </cell>
          <cell r="DL157">
            <v>18.399999999999999</v>
          </cell>
          <cell r="DM157">
            <v>50.3</v>
          </cell>
          <cell r="DN157">
            <v>6</v>
          </cell>
          <cell r="DO157">
            <v>12.5</v>
          </cell>
          <cell r="DP157">
            <v>5.0999999999999996</v>
          </cell>
          <cell r="DQ157">
            <v>2</v>
          </cell>
          <cell r="DR157">
            <v>15.5</v>
          </cell>
          <cell r="DS157">
            <v>13.900000000000002</v>
          </cell>
          <cell r="DT157">
            <v>20.200000000000003</v>
          </cell>
          <cell r="DU157">
            <v>0</v>
          </cell>
          <cell r="DV157">
            <v>0</v>
          </cell>
          <cell r="DW157">
            <v>0</v>
          </cell>
          <cell r="DX157" t="str">
            <v>nd</v>
          </cell>
          <cell r="DY157" t="str">
            <v>nd</v>
          </cell>
          <cell r="DZ157">
            <v>3.0661899999999997</v>
          </cell>
          <cell r="EA157">
            <v>2.3298699999999997</v>
          </cell>
          <cell r="EB157">
            <v>1.59596</v>
          </cell>
          <cell r="EC157">
            <v>0.81169999999999987</v>
          </cell>
          <cell r="ED157" t="str">
            <v>nd</v>
          </cell>
          <cell r="EE157" t="str">
            <v>nd</v>
          </cell>
          <cell r="EF157">
            <v>22.217398799999998</v>
          </cell>
          <cell r="EG157">
            <v>12.610178299999999</v>
          </cell>
          <cell r="EH157">
            <v>4.3599600000000001</v>
          </cell>
          <cell r="EI157">
            <v>1.32447</v>
          </cell>
          <cell r="EJ157">
            <v>0.68049900000000008</v>
          </cell>
          <cell r="EK157">
            <v>1.4505699999999999</v>
          </cell>
          <cell r="EL157">
            <v>29.865093799999997</v>
          </cell>
          <cell r="EM157">
            <v>5.5321699999999998</v>
          </cell>
          <cell r="EN157">
            <v>1.02003</v>
          </cell>
          <cell r="EO157" t="str">
            <v>nd</v>
          </cell>
          <cell r="EP157">
            <v>1.2481100000000001</v>
          </cell>
          <cell r="EQ157">
            <v>1.8973599999999999</v>
          </cell>
          <cell r="ER157">
            <v>7.0067382</v>
          </cell>
          <cell r="ES157">
            <v>1.06772</v>
          </cell>
          <cell r="ET157">
            <v>0.40566200000000002</v>
          </cell>
          <cell r="EU157" t="str">
            <v>nd</v>
          </cell>
          <cell r="EV157" t="str">
            <v>nd</v>
          </cell>
          <cell r="EW157">
            <v>0.612734</v>
          </cell>
          <cell r="EX157">
            <v>0</v>
          </cell>
          <cell r="EY157" t="str">
            <v>nd</v>
          </cell>
          <cell r="EZ157">
            <v>0</v>
          </cell>
          <cell r="FA157">
            <v>0</v>
          </cell>
          <cell r="FB157">
            <v>0</v>
          </cell>
          <cell r="FC157" t="str">
            <v>nd</v>
          </cell>
          <cell r="FD157" t="str">
            <v>nd</v>
          </cell>
          <cell r="FE157">
            <v>0.62436899999999995</v>
          </cell>
          <cell r="FF157">
            <v>1.7281299999999999</v>
          </cell>
          <cell r="FG157">
            <v>4.0528300000000002</v>
          </cell>
          <cell r="FH157">
            <v>1.4860099999999998</v>
          </cell>
          <cell r="FI157">
            <v>0.52300400000000002</v>
          </cell>
          <cell r="FJ157">
            <v>2.3547100000000003</v>
          </cell>
          <cell r="FK157">
            <v>2.4251499999999999</v>
          </cell>
          <cell r="FL157">
            <v>7.233703900000001</v>
          </cell>
          <cell r="FM157">
            <v>21.348426</v>
          </cell>
          <cell r="FN157">
            <v>8.8702226</v>
          </cell>
          <cell r="FO157">
            <v>0.81407000000000007</v>
          </cell>
          <cell r="FP157">
            <v>0.62710099999999991</v>
          </cell>
          <cell r="FQ157">
            <v>2.19367</v>
          </cell>
          <cell r="FR157">
            <v>6.7499124999999989</v>
          </cell>
          <cell r="FS157">
            <v>19.126268</v>
          </cell>
          <cell r="FT157">
            <v>10.1725239</v>
          </cell>
          <cell r="FU157">
            <v>0</v>
          </cell>
          <cell r="FV157" t="str">
            <v>nd</v>
          </cell>
          <cell r="FW157">
            <v>0.71157499999999996</v>
          </cell>
          <cell r="FX157">
            <v>0.80167999999999995</v>
          </cell>
          <cell r="FY157">
            <v>4.6802200000000003</v>
          </cell>
          <cell r="FZ157">
            <v>3.0539199999999997</v>
          </cell>
          <cell r="GA157" t="str">
            <v>nd</v>
          </cell>
          <cell r="GB157">
            <v>0</v>
          </cell>
          <cell r="GC157">
            <v>0</v>
          </cell>
          <cell r="GD157">
            <v>0</v>
          </cell>
          <cell r="GE157">
            <v>0</v>
          </cell>
          <cell r="GF157">
            <v>0.23652799999999999</v>
          </cell>
          <cell r="GG157">
            <v>0.87515000000000009</v>
          </cell>
          <cell r="GH157">
            <v>0.99205999999999994</v>
          </cell>
          <cell r="GI157">
            <v>1.9642599999999999</v>
          </cell>
          <cell r="GJ157">
            <v>2.0697700000000001</v>
          </cell>
          <cell r="GK157">
            <v>1.8802400000000001</v>
          </cell>
          <cell r="GL157" t="str">
            <v>nd</v>
          </cell>
          <cell r="GM157">
            <v>0.67536300000000005</v>
          </cell>
          <cell r="GN157">
            <v>1.2823100000000001</v>
          </cell>
          <cell r="GO157">
            <v>6.8118567000000008</v>
          </cell>
          <cell r="GP157">
            <v>19.901898800000001</v>
          </cell>
          <cell r="GQ157">
            <v>13.854344299999999</v>
          </cell>
          <cell r="GR157">
            <v>0</v>
          </cell>
          <cell r="GS157">
            <v>0</v>
          </cell>
          <cell r="GT157" t="str">
            <v>nd</v>
          </cell>
          <cell r="GU157">
            <v>0.48112099999999997</v>
          </cell>
          <cell r="GV157">
            <v>16.763537599999999</v>
          </cell>
          <cell r="GW157">
            <v>22.511518899999999</v>
          </cell>
          <cell r="GX157">
            <v>0</v>
          </cell>
          <cell r="GY157" t="str">
            <v>nd</v>
          </cell>
          <cell r="GZ157">
            <v>0</v>
          </cell>
          <cell r="HA157">
            <v>0.47428300000000001</v>
          </cell>
          <cell r="HB157">
            <v>4.5775800000000002</v>
          </cell>
          <cell r="HC157">
            <v>3.9366199999999996</v>
          </cell>
          <cell r="HD157">
            <v>0</v>
          </cell>
          <cell r="HE157" t="str">
            <v>nd</v>
          </cell>
          <cell r="HF157">
            <v>0</v>
          </cell>
          <cell r="HG157">
            <v>0</v>
          </cell>
          <cell r="HH157">
            <v>0</v>
          </cell>
          <cell r="HI157">
            <v>0</v>
          </cell>
          <cell r="HJ157">
            <v>0</v>
          </cell>
          <cell r="HK157">
            <v>0</v>
          </cell>
          <cell r="HL157">
            <v>0.92773000000000005</v>
          </cell>
          <cell r="HM157">
            <v>6.4530897000000005</v>
          </cell>
          <cell r="HN157">
            <v>0.53860600000000003</v>
          </cell>
          <cell r="HO157">
            <v>0</v>
          </cell>
          <cell r="HP157">
            <v>0</v>
          </cell>
          <cell r="HQ157">
            <v>0.25882700000000003</v>
          </cell>
          <cell r="HR157">
            <v>1.9669200000000002</v>
          </cell>
          <cell r="HS157">
            <v>38.197852099999999</v>
          </cell>
          <cell r="HT157">
            <v>1.7621899999999999</v>
          </cell>
          <cell r="HU157">
            <v>0</v>
          </cell>
          <cell r="HV157">
            <v>0</v>
          </cell>
          <cell r="HW157">
            <v>0</v>
          </cell>
          <cell r="HX157">
            <v>3.5563400000000001</v>
          </cell>
          <cell r="HY157">
            <v>33.598875700000001</v>
          </cell>
          <cell r="HZ157">
            <v>3.30402</v>
          </cell>
          <cell r="IA157">
            <v>0</v>
          </cell>
          <cell r="IB157">
            <v>0</v>
          </cell>
          <cell r="IC157">
            <v>0</v>
          </cell>
          <cell r="ID157">
            <v>0.65819800000000006</v>
          </cell>
          <cell r="IE157">
            <v>8.0377407999999999</v>
          </cell>
          <cell r="IF157">
            <v>0.52354899999999993</v>
          </cell>
          <cell r="IG157">
            <v>0</v>
          </cell>
          <cell r="IH157" t="str">
            <v>nd</v>
          </cell>
          <cell r="II157">
            <v>0</v>
          </cell>
          <cell r="IJ157">
            <v>0</v>
          </cell>
          <cell r="IK157">
            <v>0</v>
          </cell>
          <cell r="IL157">
            <v>0</v>
          </cell>
          <cell r="IM157" t="str">
            <v>nd</v>
          </cell>
          <cell r="IN157">
            <v>0</v>
          </cell>
          <cell r="IO157">
            <v>1.1145499999999999</v>
          </cell>
          <cell r="IP157">
            <v>5.5381800000000005</v>
          </cell>
          <cell r="IQ157">
            <v>1.25275</v>
          </cell>
          <cell r="IR157">
            <v>0</v>
          </cell>
          <cell r="IS157">
            <v>0</v>
          </cell>
          <cell r="IT157" t="str">
            <v>nd</v>
          </cell>
          <cell r="IU157">
            <v>6.1722299999999999</v>
          </cell>
          <cell r="IV157">
            <v>29.167558500000002</v>
          </cell>
          <cell r="IW157">
            <v>7.1586531999999998</v>
          </cell>
          <cell r="IX157">
            <v>0</v>
          </cell>
          <cell r="IY157" t="str">
            <v>nd</v>
          </cell>
          <cell r="IZ157" t="str">
            <v>nd</v>
          </cell>
          <cell r="JA157">
            <v>3.7236199999999995</v>
          </cell>
          <cell r="JB157">
            <v>28.289438099999998</v>
          </cell>
          <cell r="JC157">
            <v>7.3602258000000003</v>
          </cell>
          <cell r="JD157" t="str">
            <v>nd</v>
          </cell>
          <cell r="JE157">
            <v>0</v>
          </cell>
          <cell r="JF157">
            <v>0</v>
          </cell>
          <cell r="JG157">
            <v>0.55185200000000001</v>
          </cell>
          <cell r="JH157">
            <v>6.2995353999999999</v>
          </cell>
          <cell r="JI157">
            <v>2.19469</v>
          </cell>
          <cell r="JJ157">
            <v>0</v>
          </cell>
          <cell r="JK157">
            <v>0</v>
          </cell>
          <cell r="JL157">
            <v>0</v>
          </cell>
          <cell r="JM157">
            <v>0</v>
          </cell>
          <cell r="JN157" t="str">
            <v>nd</v>
          </cell>
          <cell r="JO157">
            <v>0</v>
          </cell>
          <cell r="JP157">
            <v>0</v>
          </cell>
          <cell r="JQ157">
            <v>0</v>
          </cell>
          <cell r="JR157">
            <v>0</v>
          </cell>
          <cell r="JS157">
            <v>0</v>
          </cell>
          <cell r="JT157">
            <v>8.0361446000000001</v>
          </cell>
          <cell r="JU157">
            <v>0</v>
          </cell>
          <cell r="JV157">
            <v>0</v>
          </cell>
          <cell r="JW157">
            <v>0</v>
          </cell>
          <cell r="JX157" t="str">
            <v>nd</v>
          </cell>
          <cell r="JY157" t="str">
            <v>nd</v>
          </cell>
          <cell r="JZ157">
            <v>42.879477900000005</v>
          </cell>
          <cell r="KA157">
            <v>0</v>
          </cell>
          <cell r="KB157">
            <v>0</v>
          </cell>
          <cell r="KC157">
            <v>0</v>
          </cell>
          <cell r="KD157">
            <v>0</v>
          </cell>
          <cell r="KE157">
            <v>0</v>
          </cell>
          <cell r="KF157">
            <v>39.836019499999999</v>
          </cell>
          <cell r="KG157">
            <v>0</v>
          </cell>
          <cell r="KH157">
            <v>0</v>
          </cell>
          <cell r="KI157">
            <v>0</v>
          </cell>
          <cell r="KJ157">
            <v>0</v>
          </cell>
          <cell r="KK157">
            <v>0</v>
          </cell>
          <cell r="KL157">
            <v>8.8524723999999999</v>
          </cell>
          <cell r="KM157">
            <v>69.3</v>
          </cell>
          <cell r="KN157">
            <v>11.200000000000001</v>
          </cell>
          <cell r="KO157">
            <v>6.2</v>
          </cell>
          <cell r="KP157">
            <v>6.8000000000000007</v>
          </cell>
          <cell r="KQ157">
            <v>6.5</v>
          </cell>
          <cell r="KR157">
            <v>0</v>
          </cell>
          <cell r="KS157">
            <v>67.2</v>
          </cell>
          <cell r="KT157">
            <v>11.899999999999999</v>
          </cell>
          <cell r="KU157">
            <v>6.6000000000000005</v>
          </cell>
          <cell r="KV157">
            <v>7.1</v>
          </cell>
          <cell r="KW157">
            <v>7.1</v>
          </cell>
          <cell r="KX157">
            <v>0</v>
          </cell>
          <cell r="KY157"/>
          <cell r="KZ157"/>
          <cell r="LA157"/>
          <cell r="LB157"/>
          <cell r="LC157"/>
          <cell r="LD157"/>
          <cell r="LE157"/>
          <cell r="LF157"/>
          <cell r="LG157"/>
          <cell r="LH157"/>
          <cell r="LI157"/>
          <cell r="LJ157"/>
          <cell r="LK157"/>
          <cell r="LL157"/>
          <cell r="LM157"/>
          <cell r="LN157"/>
          <cell r="LO157"/>
        </row>
        <row r="158">
          <cell r="A158" t="str">
            <v>5ET2</v>
          </cell>
          <cell r="B158" t="str">
            <v>158</v>
          </cell>
          <cell r="C158" t="str">
            <v>NAF 4</v>
          </cell>
          <cell r="D158" t="str">
            <v>ET2</v>
          </cell>
          <cell r="E158" t="str">
            <v>5</v>
          </cell>
          <cell r="F158">
            <v>0</v>
          </cell>
          <cell r="G158">
            <v>10.299999999999999</v>
          </cell>
          <cell r="H158">
            <v>42.1</v>
          </cell>
          <cell r="I158">
            <v>38.299999999999997</v>
          </cell>
          <cell r="J158">
            <v>9.1999999999999993</v>
          </cell>
          <cell r="K158">
            <v>75.900000000000006</v>
          </cell>
          <cell r="L158">
            <v>4.3999999999999995</v>
          </cell>
          <cell r="M158">
            <v>14.000000000000002</v>
          </cell>
          <cell r="N158">
            <v>5.7</v>
          </cell>
          <cell r="O158">
            <v>30</v>
          </cell>
          <cell r="P158">
            <v>26.6</v>
          </cell>
          <cell r="Q158">
            <v>22.1</v>
          </cell>
          <cell r="R158">
            <v>10.9</v>
          </cell>
          <cell r="S158">
            <v>13.8</v>
          </cell>
          <cell r="T158">
            <v>47.9</v>
          </cell>
          <cell r="U158">
            <v>2.5</v>
          </cell>
          <cell r="V158">
            <v>15</v>
          </cell>
          <cell r="W158">
            <v>11.700000000000001</v>
          </cell>
          <cell r="X158">
            <v>80.5</v>
          </cell>
          <cell r="Y158">
            <v>7.9</v>
          </cell>
          <cell r="Z158">
            <v>14.899999999999999</v>
          </cell>
          <cell r="AA158">
            <v>58.8</v>
          </cell>
          <cell r="AB158">
            <v>22.8</v>
          </cell>
          <cell r="AC158">
            <v>60.5</v>
          </cell>
          <cell r="AD158">
            <v>14.899999999999999</v>
          </cell>
          <cell r="AE158">
            <v>74.599999999999994</v>
          </cell>
          <cell r="AF158">
            <v>25.4</v>
          </cell>
          <cell r="AG158">
            <v>81.699999999999989</v>
          </cell>
          <cell r="AH158">
            <v>18.3</v>
          </cell>
          <cell r="AI158">
            <v>44.4</v>
          </cell>
          <cell r="AJ158">
            <v>1.7000000000000002</v>
          </cell>
          <cell r="AK158">
            <v>3.1</v>
          </cell>
          <cell r="AL158">
            <v>43.6</v>
          </cell>
          <cell r="AM158">
            <v>7.1999999999999993</v>
          </cell>
          <cell r="AN158">
            <v>14.799999999999999</v>
          </cell>
          <cell r="AO158">
            <v>4.2</v>
          </cell>
          <cell r="AP158">
            <v>3.5999999999999996</v>
          </cell>
          <cell r="AQ158">
            <v>71.399999999999991</v>
          </cell>
          <cell r="AR158">
            <v>6</v>
          </cell>
          <cell r="AS158">
            <v>59.4</v>
          </cell>
          <cell r="AT158">
            <v>23.9</v>
          </cell>
          <cell r="AU158">
            <v>9.3000000000000007</v>
          </cell>
          <cell r="AV158">
            <v>3.5999999999999996</v>
          </cell>
          <cell r="AW158">
            <v>1.2</v>
          </cell>
          <cell r="AX158">
            <v>2.5</v>
          </cell>
          <cell r="AY158">
            <v>2</v>
          </cell>
          <cell r="AZ158">
            <v>3</v>
          </cell>
          <cell r="BA158">
            <v>7.7</v>
          </cell>
          <cell r="BB158">
            <v>25.1</v>
          </cell>
          <cell r="BC158">
            <v>46.2</v>
          </cell>
          <cell r="BD158">
            <v>16.100000000000001</v>
          </cell>
          <cell r="BE158" t="str">
            <v>nd</v>
          </cell>
          <cell r="BF158">
            <v>2.5</v>
          </cell>
          <cell r="BG158">
            <v>4</v>
          </cell>
          <cell r="BH158">
            <v>8.3000000000000007</v>
          </cell>
          <cell r="BI158">
            <v>47.5</v>
          </cell>
          <cell r="BJ158">
            <v>36.799999999999997</v>
          </cell>
          <cell r="BK158">
            <v>0</v>
          </cell>
          <cell r="BL158">
            <v>0</v>
          </cell>
          <cell r="BM158" t="str">
            <v>nd</v>
          </cell>
          <cell r="BN158">
            <v>9.6</v>
          </cell>
          <cell r="BO158">
            <v>85.2</v>
          </cell>
          <cell r="BP158">
            <v>5.0999999999999996</v>
          </cell>
          <cell r="BQ158" t="str">
            <v>nd</v>
          </cell>
          <cell r="BR158">
            <v>0</v>
          </cell>
          <cell r="BS158" t="str">
            <v>nd</v>
          </cell>
          <cell r="BT158">
            <v>11.700000000000001</v>
          </cell>
          <cell r="BU158">
            <v>78.2</v>
          </cell>
          <cell r="BV158">
            <v>9.6</v>
          </cell>
          <cell r="BW158">
            <v>0</v>
          </cell>
          <cell r="BX158">
            <v>0</v>
          </cell>
          <cell r="BY158">
            <v>0</v>
          </cell>
          <cell r="BZ158" t="str">
            <v>nd</v>
          </cell>
          <cell r="CA158">
            <v>0.89999999999999991</v>
          </cell>
          <cell r="CB158">
            <v>99.1</v>
          </cell>
          <cell r="CC158">
            <v>25.4</v>
          </cell>
          <cell r="CD158">
            <v>16.600000000000001</v>
          </cell>
          <cell r="CE158">
            <v>0.8</v>
          </cell>
          <cell r="CF158">
            <v>1</v>
          </cell>
          <cell r="CG158" t="str">
            <v>nd</v>
          </cell>
          <cell r="CH158">
            <v>16</v>
          </cell>
          <cell r="CI158">
            <v>8</v>
          </cell>
          <cell r="CJ158">
            <v>53.2</v>
          </cell>
          <cell r="CK158">
            <v>40</v>
          </cell>
          <cell r="CL158">
            <v>7.8</v>
          </cell>
          <cell r="CM158">
            <v>2.4</v>
          </cell>
          <cell r="CN158" t="str">
            <v>nd</v>
          </cell>
          <cell r="CO158">
            <v>55.800000000000004</v>
          </cell>
          <cell r="CP158">
            <v>20.200000000000003</v>
          </cell>
          <cell r="CQ158">
            <v>29.799999999999997</v>
          </cell>
          <cell r="CR158">
            <v>12.8</v>
          </cell>
          <cell r="CS158">
            <v>37.299999999999997</v>
          </cell>
          <cell r="CT158">
            <v>14.899999999999999</v>
          </cell>
          <cell r="CU158">
            <v>85.1</v>
          </cell>
          <cell r="CV158">
            <v>11.4</v>
          </cell>
          <cell r="CW158">
            <v>88.6</v>
          </cell>
          <cell r="CX158">
            <v>19.8</v>
          </cell>
          <cell r="CY158">
            <v>40.1</v>
          </cell>
          <cell r="CZ158">
            <v>40.1</v>
          </cell>
          <cell r="DA158">
            <v>21.8</v>
          </cell>
          <cell r="DB158" t="str">
            <v>nd</v>
          </cell>
          <cell r="DC158">
            <v>14.099999999999998</v>
          </cell>
          <cell r="DD158" t="str">
            <v>nd</v>
          </cell>
          <cell r="DE158">
            <v>67.600000000000009</v>
          </cell>
          <cell r="DF158">
            <v>18.099999999999998</v>
          </cell>
          <cell r="DG158">
            <v>6.6000000000000005</v>
          </cell>
          <cell r="DH158">
            <v>11.899999999999999</v>
          </cell>
          <cell r="DI158">
            <v>11.3</v>
          </cell>
          <cell r="DJ158">
            <v>26.400000000000002</v>
          </cell>
          <cell r="DK158">
            <v>25.7</v>
          </cell>
          <cell r="DL158">
            <v>17.7</v>
          </cell>
          <cell r="DM158">
            <v>45.800000000000004</v>
          </cell>
          <cell r="DN158">
            <v>6.7</v>
          </cell>
          <cell r="DO158">
            <v>18.899999999999999</v>
          </cell>
          <cell r="DP158">
            <v>6.1</v>
          </cell>
          <cell r="DQ158">
            <v>1.7000000000000002</v>
          </cell>
          <cell r="DR158">
            <v>17.599999999999998</v>
          </cell>
          <cell r="DS158">
            <v>17</v>
          </cell>
          <cell r="DT158">
            <v>14.899999999999999</v>
          </cell>
          <cell r="DU158">
            <v>0</v>
          </cell>
          <cell r="DV158">
            <v>0</v>
          </cell>
          <cell r="DW158">
            <v>0</v>
          </cell>
          <cell r="DX158">
            <v>0</v>
          </cell>
          <cell r="DY158">
            <v>0</v>
          </cell>
          <cell r="DZ158">
            <v>2.1247499999999997</v>
          </cell>
          <cell r="EA158">
            <v>3.1487500000000002</v>
          </cell>
          <cell r="EB158">
            <v>2.2815400000000001</v>
          </cell>
          <cell r="EC158">
            <v>1.5790700000000002</v>
          </cell>
          <cell r="ED158" t="str">
            <v>nd</v>
          </cell>
          <cell r="EE158" t="str">
            <v>nd</v>
          </cell>
          <cell r="EF158">
            <v>21.9636247</v>
          </cell>
          <cell r="EG158">
            <v>12.733120700000001</v>
          </cell>
          <cell r="EH158">
            <v>5.0436700000000005</v>
          </cell>
          <cell r="EI158">
            <v>1.5479799999999999</v>
          </cell>
          <cell r="EJ158" t="str">
            <v>nd</v>
          </cell>
          <cell r="EK158">
            <v>0.55465799999999998</v>
          </cell>
          <cell r="EL158">
            <v>29.073259699999998</v>
          </cell>
          <cell r="EM158">
            <v>5.7658000000000005</v>
          </cell>
          <cell r="EN158">
            <v>1.6638599999999999</v>
          </cell>
          <cell r="EO158">
            <v>0.49807999999999997</v>
          </cell>
          <cell r="EP158">
            <v>0.70367800000000003</v>
          </cell>
          <cell r="EQ158">
            <v>0.63496300000000006</v>
          </cell>
          <cell r="ER158">
            <v>6.0531199999999998</v>
          </cell>
          <cell r="ES158">
            <v>2.3683900000000002</v>
          </cell>
          <cell r="ET158" t="str">
            <v>nd</v>
          </cell>
          <cell r="EU158" t="str">
            <v>nd</v>
          </cell>
          <cell r="EV158">
            <v>0</v>
          </cell>
          <cell r="EW158" t="str">
            <v>nd</v>
          </cell>
          <cell r="EX158">
            <v>0</v>
          </cell>
          <cell r="EY158">
            <v>0</v>
          </cell>
          <cell r="EZ158">
            <v>0</v>
          </cell>
          <cell r="FA158">
            <v>0</v>
          </cell>
          <cell r="FB158">
            <v>0</v>
          </cell>
          <cell r="FC158" t="str">
            <v>nd</v>
          </cell>
          <cell r="FD158">
            <v>0</v>
          </cell>
          <cell r="FE158" t="str">
            <v>nd</v>
          </cell>
          <cell r="FF158">
            <v>2.7803599999999999</v>
          </cell>
          <cell r="FG158">
            <v>5.1067300000000007</v>
          </cell>
          <cell r="FH158">
            <v>1.6102600000000002</v>
          </cell>
          <cell r="FI158">
            <v>1.2411399999999999</v>
          </cell>
          <cell r="FJ158">
            <v>1.8621599999999998</v>
          </cell>
          <cell r="FK158">
            <v>2.6755399999999998</v>
          </cell>
          <cell r="FL158">
            <v>11.768958599999999</v>
          </cell>
          <cell r="FM158">
            <v>19.187729699999998</v>
          </cell>
          <cell r="FN158">
            <v>5.54765</v>
          </cell>
          <cell r="FO158">
            <v>0.59722799999999998</v>
          </cell>
          <cell r="FP158">
            <v>0.81890999999999992</v>
          </cell>
          <cell r="FQ158">
            <v>3.3340000000000001</v>
          </cell>
          <cell r="FR158">
            <v>7.8321483000000001</v>
          </cell>
          <cell r="FS158">
            <v>17.706548099999999</v>
          </cell>
          <cell r="FT158">
            <v>7.9334963999999992</v>
          </cell>
          <cell r="FU158">
            <v>0</v>
          </cell>
          <cell r="FV158" t="str">
            <v>nd</v>
          </cell>
          <cell r="FW158">
            <v>0.81258000000000008</v>
          </cell>
          <cell r="FX158">
            <v>2.7393100000000001</v>
          </cell>
          <cell r="FY158">
            <v>4.2984200000000001</v>
          </cell>
          <cell r="FZ158">
            <v>0.9831899999999999</v>
          </cell>
          <cell r="GA158">
            <v>0</v>
          </cell>
          <cell r="GB158">
            <v>0</v>
          </cell>
          <cell r="GC158">
            <v>0</v>
          </cell>
          <cell r="GD158">
            <v>0</v>
          </cell>
          <cell r="GE158">
            <v>0</v>
          </cell>
          <cell r="GF158" t="str">
            <v>nd</v>
          </cell>
          <cell r="GG158">
            <v>1.1913899999999999</v>
          </cell>
          <cell r="GH158">
            <v>1.6492199999999999</v>
          </cell>
          <cell r="GI158">
            <v>1.6940500000000001</v>
          </cell>
          <cell r="GJ158">
            <v>2.9959699999999998</v>
          </cell>
          <cell r="GK158">
            <v>2.2739199999999999</v>
          </cell>
          <cell r="GL158" t="str">
            <v>nd</v>
          </cell>
          <cell r="GM158">
            <v>0.54044100000000006</v>
          </cell>
          <cell r="GN158">
            <v>1.8731000000000002</v>
          </cell>
          <cell r="GO158">
            <v>5.2746599999999999</v>
          </cell>
          <cell r="GP158">
            <v>21.4903619</v>
          </cell>
          <cell r="GQ158">
            <v>13.135794000000001</v>
          </cell>
          <cell r="GR158">
            <v>0</v>
          </cell>
          <cell r="GS158" t="str">
            <v>nd</v>
          </cell>
          <cell r="GT158" t="str">
            <v>nd</v>
          </cell>
          <cell r="GU158">
            <v>1.1009800000000001</v>
          </cell>
          <cell r="GV158">
            <v>18.350818399999998</v>
          </cell>
          <cell r="GW158">
            <v>18.011700099999999</v>
          </cell>
          <cell r="GX158">
            <v>0</v>
          </cell>
          <cell r="GY158" t="str">
            <v>nd</v>
          </cell>
          <cell r="GZ158">
            <v>0</v>
          </cell>
          <cell r="HA158" t="str">
            <v>nd</v>
          </cell>
          <cell r="HB158">
            <v>4.6527000000000003</v>
          </cell>
          <cell r="HC158">
            <v>3.3758299999999997</v>
          </cell>
          <cell r="HD158">
            <v>0</v>
          </cell>
          <cell r="HE158">
            <v>0</v>
          </cell>
          <cell r="HF158">
            <v>0</v>
          </cell>
          <cell r="HG158">
            <v>0</v>
          </cell>
          <cell r="HH158">
            <v>0</v>
          </cell>
          <cell r="HI158">
            <v>0</v>
          </cell>
          <cell r="HJ158">
            <v>0</v>
          </cell>
          <cell r="HK158">
            <v>0</v>
          </cell>
          <cell r="HL158">
            <v>0.97707999999999995</v>
          </cell>
          <cell r="HM158">
            <v>8.4341260000000009</v>
          </cell>
          <cell r="HN158">
            <v>0.56621299999999997</v>
          </cell>
          <cell r="HO158">
            <v>0</v>
          </cell>
          <cell r="HP158">
            <v>0</v>
          </cell>
          <cell r="HQ158">
            <v>0</v>
          </cell>
          <cell r="HR158">
            <v>4.3418600000000005</v>
          </cell>
          <cell r="HS158">
            <v>36.489466199999995</v>
          </cell>
          <cell r="HT158">
            <v>1.7235799999999999</v>
          </cell>
          <cell r="HU158">
            <v>0</v>
          </cell>
          <cell r="HV158">
            <v>0</v>
          </cell>
          <cell r="HW158" t="str">
            <v>nd</v>
          </cell>
          <cell r="HX158">
            <v>2.9338899999999999</v>
          </cell>
          <cell r="HY158">
            <v>32.443029199999998</v>
          </cell>
          <cell r="HZ158">
            <v>2.8630100000000001</v>
          </cell>
          <cell r="IA158">
            <v>0</v>
          </cell>
          <cell r="IB158">
            <v>0</v>
          </cell>
          <cell r="IC158">
            <v>0</v>
          </cell>
          <cell r="ID158">
            <v>1.4650399999999999</v>
          </cell>
          <cell r="IE158">
            <v>7.6710772999999994</v>
          </cell>
          <cell r="IF158">
            <v>0</v>
          </cell>
          <cell r="IG158">
            <v>0</v>
          </cell>
          <cell r="IH158">
            <v>0</v>
          </cell>
          <cell r="II158">
            <v>0</v>
          </cell>
          <cell r="IJ158">
            <v>0</v>
          </cell>
          <cell r="IK158">
            <v>0</v>
          </cell>
          <cell r="IL158">
            <v>0</v>
          </cell>
          <cell r="IM158">
            <v>0</v>
          </cell>
          <cell r="IN158">
            <v>0</v>
          </cell>
          <cell r="IO158">
            <v>1.5488500000000001</v>
          </cell>
          <cell r="IP158">
            <v>7.6730879999999999</v>
          </cell>
          <cell r="IQ158">
            <v>1.2191799999999999</v>
          </cell>
          <cell r="IR158">
            <v>0</v>
          </cell>
          <cell r="IS158">
            <v>0</v>
          </cell>
          <cell r="IT158">
            <v>0</v>
          </cell>
          <cell r="IU158">
            <v>5.3350400000000002</v>
          </cell>
          <cell r="IV158">
            <v>33.633338000000002</v>
          </cell>
          <cell r="IW158">
            <v>3.0827200000000001</v>
          </cell>
          <cell r="IX158" t="str">
            <v>nd</v>
          </cell>
          <cell r="IY158">
            <v>0</v>
          </cell>
          <cell r="IZ158" t="str">
            <v>nd</v>
          </cell>
          <cell r="JA158">
            <v>4.1062700000000003</v>
          </cell>
          <cell r="JB158">
            <v>29.3022934</v>
          </cell>
          <cell r="JC158">
            <v>4.5136900000000004</v>
          </cell>
          <cell r="JD158">
            <v>0</v>
          </cell>
          <cell r="JE158">
            <v>0</v>
          </cell>
          <cell r="JF158">
            <v>0</v>
          </cell>
          <cell r="JG158">
            <v>0.82441000000000009</v>
          </cell>
          <cell r="JH158">
            <v>7.3603647999999993</v>
          </cell>
          <cell r="JI158">
            <v>0.83602999999999994</v>
          </cell>
          <cell r="JJ158">
            <v>0</v>
          </cell>
          <cell r="JK158">
            <v>0</v>
          </cell>
          <cell r="JL158">
            <v>0</v>
          </cell>
          <cell r="JM158">
            <v>0</v>
          </cell>
          <cell r="JN158">
            <v>0</v>
          </cell>
          <cell r="JO158">
            <v>0</v>
          </cell>
          <cell r="JP158">
            <v>0</v>
          </cell>
          <cell r="JQ158">
            <v>0</v>
          </cell>
          <cell r="JR158">
            <v>0</v>
          </cell>
          <cell r="JS158" t="str">
            <v>nd</v>
          </cell>
          <cell r="JT158">
            <v>10.405867799999999</v>
          </cell>
          <cell r="JU158">
            <v>0</v>
          </cell>
          <cell r="JV158">
            <v>0</v>
          </cell>
          <cell r="JW158">
            <v>0</v>
          </cell>
          <cell r="JX158" t="str">
            <v>nd</v>
          </cell>
          <cell r="JY158" t="str">
            <v>nd</v>
          </cell>
          <cell r="JZ158">
            <v>41.716659399999998</v>
          </cell>
          <cell r="KA158">
            <v>0</v>
          </cell>
          <cell r="KB158">
            <v>0</v>
          </cell>
          <cell r="KC158">
            <v>0</v>
          </cell>
          <cell r="KD158">
            <v>0</v>
          </cell>
          <cell r="KE158" t="str">
            <v>nd</v>
          </cell>
          <cell r="KF158">
            <v>38.2293533</v>
          </cell>
          <cell r="KG158">
            <v>0</v>
          </cell>
          <cell r="KH158">
            <v>0</v>
          </cell>
          <cell r="KI158">
            <v>0</v>
          </cell>
          <cell r="KJ158">
            <v>0</v>
          </cell>
          <cell r="KK158">
            <v>0</v>
          </cell>
          <cell r="KL158">
            <v>8.7264583000000009</v>
          </cell>
          <cell r="KM158">
            <v>67.7</v>
          </cell>
          <cell r="KN158">
            <v>12.9</v>
          </cell>
          <cell r="KO158">
            <v>7.3</v>
          </cell>
          <cell r="KP158">
            <v>5.8999999999999995</v>
          </cell>
          <cell r="KQ158">
            <v>6.2</v>
          </cell>
          <cell r="KR158">
            <v>0</v>
          </cell>
          <cell r="KS158">
            <v>65.3</v>
          </cell>
          <cell r="KT158">
            <v>14.099999999999998</v>
          </cell>
          <cell r="KU158">
            <v>7.5</v>
          </cell>
          <cell r="KV158">
            <v>6.4</v>
          </cell>
          <cell r="KW158">
            <v>6.7</v>
          </cell>
          <cell r="KX158">
            <v>0</v>
          </cell>
          <cell r="KY158"/>
          <cell r="KZ158"/>
          <cell r="LA158"/>
          <cell r="LB158"/>
          <cell r="LC158"/>
          <cell r="LD158"/>
          <cell r="LE158"/>
          <cell r="LF158"/>
          <cell r="LG158"/>
          <cell r="LH158"/>
          <cell r="LI158"/>
          <cell r="LJ158"/>
          <cell r="LK158"/>
          <cell r="LL158"/>
          <cell r="LM158"/>
          <cell r="LN158"/>
          <cell r="LO158"/>
        </row>
        <row r="159">
          <cell r="A159" t="str">
            <v>6ET2</v>
          </cell>
          <cell r="B159" t="str">
            <v>159</v>
          </cell>
          <cell r="C159" t="str">
            <v>NAF 4</v>
          </cell>
          <cell r="D159" t="str">
            <v>ET2</v>
          </cell>
          <cell r="E159" t="str">
            <v>6</v>
          </cell>
          <cell r="F159">
            <v>0</v>
          </cell>
          <cell r="G159">
            <v>12.6</v>
          </cell>
          <cell r="H159">
            <v>48.699999999999996</v>
          </cell>
          <cell r="I159">
            <v>34.5</v>
          </cell>
          <cell r="J159">
            <v>4.2</v>
          </cell>
          <cell r="K159">
            <v>77.400000000000006</v>
          </cell>
          <cell r="L159">
            <v>5.6000000000000005</v>
          </cell>
          <cell r="M159">
            <v>5.6000000000000005</v>
          </cell>
          <cell r="N159">
            <v>11.4</v>
          </cell>
          <cell r="O159">
            <v>30.599999999999998</v>
          </cell>
          <cell r="P159">
            <v>35.5</v>
          </cell>
          <cell r="Q159">
            <v>22.1</v>
          </cell>
          <cell r="R159">
            <v>9.5</v>
          </cell>
          <cell r="S159">
            <v>12.2</v>
          </cell>
          <cell r="T159">
            <v>43.7</v>
          </cell>
          <cell r="U159">
            <v>3.3000000000000003</v>
          </cell>
          <cell r="V159">
            <v>12.8</v>
          </cell>
          <cell r="W159">
            <v>11.3</v>
          </cell>
          <cell r="X159">
            <v>85.9</v>
          </cell>
          <cell r="Y159">
            <v>2.8000000000000003</v>
          </cell>
          <cell r="Z159" t="str">
            <v>nd</v>
          </cell>
          <cell r="AA159">
            <v>69.8</v>
          </cell>
          <cell r="AB159">
            <v>8.5</v>
          </cell>
          <cell r="AC159">
            <v>65.100000000000009</v>
          </cell>
          <cell r="AD159">
            <v>8.5</v>
          </cell>
          <cell r="AE159">
            <v>62.3</v>
          </cell>
          <cell r="AF159">
            <v>37.700000000000003</v>
          </cell>
          <cell r="AG159">
            <v>85.5</v>
          </cell>
          <cell r="AH159">
            <v>14.499999999999998</v>
          </cell>
          <cell r="AI159">
            <v>44.800000000000004</v>
          </cell>
          <cell r="AJ159">
            <v>2.6</v>
          </cell>
          <cell r="AK159">
            <v>9.8000000000000007</v>
          </cell>
          <cell r="AL159">
            <v>35.5</v>
          </cell>
          <cell r="AM159">
            <v>7.3999999999999995</v>
          </cell>
          <cell r="AN159">
            <v>11</v>
          </cell>
          <cell r="AO159">
            <v>4.3</v>
          </cell>
          <cell r="AP159">
            <v>8.2000000000000011</v>
          </cell>
          <cell r="AQ159">
            <v>47.8</v>
          </cell>
          <cell r="AR159">
            <v>28.7</v>
          </cell>
          <cell r="AS159">
            <v>37.1</v>
          </cell>
          <cell r="AT159">
            <v>36.5</v>
          </cell>
          <cell r="AU159">
            <v>17.8</v>
          </cell>
          <cell r="AV159">
            <v>4.5</v>
          </cell>
          <cell r="AW159">
            <v>3.2</v>
          </cell>
          <cell r="AX159">
            <v>1</v>
          </cell>
          <cell r="AY159">
            <v>3.6999999999999997</v>
          </cell>
          <cell r="AZ159">
            <v>9.3000000000000007</v>
          </cell>
          <cell r="BA159">
            <v>22.2</v>
          </cell>
          <cell r="BB159">
            <v>27.800000000000004</v>
          </cell>
          <cell r="BC159">
            <v>33.4</v>
          </cell>
          <cell r="BD159">
            <v>3.5999999999999996</v>
          </cell>
          <cell r="BE159" t="str">
            <v>nd</v>
          </cell>
          <cell r="BF159">
            <v>1.3</v>
          </cell>
          <cell r="BG159">
            <v>1</v>
          </cell>
          <cell r="BH159">
            <v>6.1</v>
          </cell>
          <cell r="BI159">
            <v>49.1</v>
          </cell>
          <cell r="BJ159">
            <v>42.5</v>
          </cell>
          <cell r="BK159" t="str">
            <v>nd</v>
          </cell>
          <cell r="BL159">
            <v>0</v>
          </cell>
          <cell r="BM159">
            <v>0.6</v>
          </cell>
          <cell r="BN159">
            <v>6</v>
          </cell>
          <cell r="BO159">
            <v>91.8</v>
          </cell>
          <cell r="BP159">
            <v>1.6</v>
          </cell>
          <cell r="BQ159">
            <v>0</v>
          </cell>
          <cell r="BR159" t="str">
            <v>nd</v>
          </cell>
          <cell r="BS159">
            <v>0.4</v>
          </cell>
          <cell r="BT159">
            <v>11.5</v>
          </cell>
          <cell r="BU159">
            <v>82.5</v>
          </cell>
          <cell r="BV159">
            <v>5.6000000000000005</v>
          </cell>
          <cell r="BW159">
            <v>0</v>
          </cell>
          <cell r="BX159">
            <v>0</v>
          </cell>
          <cell r="BY159">
            <v>0</v>
          </cell>
          <cell r="BZ159">
            <v>0.1</v>
          </cell>
          <cell r="CA159">
            <v>2.1999999999999997</v>
          </cell>
          <cell r="CB159">
            <v>97.7</v>
          </cell>
          <cell r="CC159">
            <v>23.599999999999998</v>
          </cell>
          <cell r="CD159">
            <v>16.900000000000002</v>
          </cell>
          <cell r="CE159">
            <v>0.4</v>
          </cell>
          <cell r="CF159">
            <v>0.3</v>
          </cell>
          <cell r="CG159">
            <v>0.89999999999999991</v>
          </cell>
          <cell r="CH159">
            <v>24.3</v>
          </cell>
          <cell r="CI159">
            <v>8.5</v>
          </cell>
          <cell r="CJ159">
            <v>49.6</v>
          </cell>
          <cell r="CK159">
            <v>50</v>
          </cell>
          <cell r="CL159">
            <v>16.900000000000002</v>
          </cell>
          <cell r="CM159">
            <v>1.9</v>
          </cell>
          <cell r="CN159">
            <v>1.2</v>
          </cell>
          <cell r="CO159">
            <v>43.2</v>
          </cell>
          <cell r="CP159">
            <v>10.5</v>
          </cell>
          <cell r="CQ159">
            <v>39.6</v>
          </cell>
          <cell r="CR159">
            <v>13.200000000000001</v>
          </cell>
          <cell r="CS159">
            <v>36.700000000000003</v>
          </cell>
          <cell r="CT159">
            <v>13.4</v>
          </cell>
          <cell r="CU159">
            <v>86.6</v>
          </cell>
          <cell r="CV159">
            <v>15.5</v>
          </cell>
          <cell r="CW159">
            <v>84.5</v>
          </cell>
          <cell r="CX159">
            <v>18.099999999999998</v>
          </cell>
          <cell r="CY159">
            <v>30.9</v>
          </cell>
          <cell r="CZ159">
            <v>51</v>
          </cell>
          <cell r="DA159">
            <v>38.700000000000003</v>
          </cell>
          <cell r="DB159">
            <v>9.1999999999999993</v>
          </cell>
          <cell r="DC159">
            <v>20.200000000000003</v>
          </cell>
          <cell r="DD159" t="str">
            <v>nd</v>
          </cell>
          <cell r="DE159">
            <v>60.099999999999994</v>
          </cell>
          <cell r="DF159">
            <v>14.499999999999998</v>
          </cell>
          <cell r="DG159">
            <v>4.2</v>
          </cell>
          <cell r="DH159">
            <v>20.9</v>
          </cell>
          <cell r="DI159">
            <v>19.2</v>
          </cell>
          <cell r="DJ159">
            <v>27.200000000000003</v>
          </cell>
          <cell r="DK159">
            <v>13.900000000000002</v>
          </cell>
          <cell r="DL159">
            <v>14.000000000000002</v>
          </cell>
          <cell r="DM159">
            <v>46.800000000000004</v>
          </cell>
          <cell r="DN159">
            <v>4.3999999999999995</v>
          </cell>
          <cell r="DO159">
            <v>39.700000000000003</v>
          </cell>
          <cell r="DP159">
            <v>6.8000000000000007</v>
          </cell>
          <cell r="DQ159">
            <v>12.5</v>
          </cell>
          <cell r="DR159">
            <v>15.6</v>
          </cell>
          <cell r="DS159">
            <v>22.8</v>
          </cell>
          <cell r="DT159">
            <v>10.7</v>
          </cell>
          <cell r="DU159">
            <v>0</v>
          </cell>
          <cell r="DV159">
            <v>0</v>
          </cell>
          <cell r="DW159">
            <v>0</v>
          </cell>
          <cell r="DX159">
            <v>0</v>
          </cell>
          <cell r="DY159">
            <v>0</v>
          </cell>
          <cell r="DZ159">
            <v>1.7396600000000002</v>
          </cell>
          <cell r="EA159">
            <v>3.3102499999999999</v>
          </cell>
          <cell r="EB159">
            <v>6.0428500000000005</v>
          </cell>
          <cell r="EC159">
            <v>0.37460599999999999</v>
          </cell>
          <cell r="ED159">
            <v>0.85731000000000002</v>
          </cell>
          <cell r="EE159" t="str">
            <v>nd</v>
          </cell>
          <cell r="EF159">
            <v>13.904116399999999</v>
          </cell>
          <cell r="EG159">
            <v>23.2387421</v>
          </cell>
          <cell r="EH159">
            <v>7.2760463</v>
          </cell>
          <cell r="EI159">
            <v>2.2675199999999998</v>
          </cell>
          <cell r="EJ159">
            <v>1.99217</v>
          </cell>
          <cell r="EK159">
            <v>0.21130099999999999</v>
          </cell>
          <cell r="EL159">
            <v>18.865932999999998</v>
          </cell>
          <cell r="EM159">
            <v>8.7767815999999996</v>
          </cell>
          <cell r="EN159">
            <v>4.2582599999999999</v>
          </cell>
          <cell r="EO159">
            <v>1.8054600000000001</v>
          </cell>
          <cell r="EP159">
            <v>0.307307</v>
          </cell>
          <cell r="EQ159">
            <v>0.47474300000000003</v>
          </cell>
          <cell r="ER159">
            <v>2.57829</v>
          </cell>
          <cell r="ES159">
            <v>1.0807100000000001</v>
          </cell>
          <cell r="ET159">
            <v>0.26438800000000001</v>
          </cell>
          <cell r="EU159">
            <v>0</v>
          </cell>
          <cell r="EV159" t="str">
            <v>nd</v>
          </cell>
          <cell r="EW159" t="str">
            <v>nd</v>
          </cell>
          <cell r="EX159">
            <v>0</v>
          </cell>
          <cell r="EY159">
            <v>0</v>
          </cell>
          <cell r="EZ159">
            <v>0</v>
          </cell>
          <cell r="FA159">
            <v>0</v>
          </cell>
          <cell r="FB159">
            <v>0</v>
          </cell>
          <cell r="FC159" t="str">
            <v>nd</v>
          </cell>
          <cell r="FD159">
            <v>0.22228399999999998</v>
          </cell>
          <cell r="FE159">
            <v>4.8397600000000001</v>
          </cell>
          <cell r="FF159">
            <v>3.1443699999999999</v>
          </cell>
          <cell r="FG159">
            <v>3.2841200000000002</v>
          </cell>
          <cell r="FH159">
            <v>0.24287000000000003</v>
          </cell>
          <cell r="FI159">
            <v>2.0144800000000003</v>
          </cell>
          <cell r="FJ159">
            <v>5.9360400000000002</v>
          </cell>
          <cell r="FK159">
            <v>11.343155600000001</v>
          </cell>
          <cell r="FL159">
            <v>14.875042299999999</v>
          </cell>
          <cell r="FM159">
            <v>13.2426371</v>
          </cell>
          <cell r="FN159">
            <v>1.21391</v>
          </cell>
          <cell r="FO159">
            <v>0.81058999999999992</v>
          </cell>
          <cell r="FP159">
            <v>2.90917</v>
          </cell>
          <cell r="FQ159">
            <v>5.0766899999999993</v>
          </cell>
          <cell r="FR159">
            <v>9.1206634999999991</v>
          </cell>
          <cell r="FS159">
            <v>15.036840900000001</v>
          </cell>
          <cell r="FT159">
            <v>1.70265</v>
          </cell>
          <cell r="FU159" t="str">
            <v>nd</v>
          </cell>
          <cell r="FV159">
            <v>0.13402600000000001</v>
          </cell>
          <cell r="FW159">
            <v>1.0111000000000001</v>
          </cell>
          <cell r="FX159">
            <v>0.56618299999999999</v>
          </cell>
          <cell r="FY159">
            <v>1.92933</v>
          </cell>
          <cell r="FZ159">
            <v>0.44889200000000007</v>
          </cell>
          <cell r="GA159">
            <v>0</v>
          </cell>
          <cell r="GB159">
            <v>0</v>
          </cell>
          <cell r="GC159">
            <v>0</v>
          </cell>
          <cell r="GD159">
            <v>0</v>
          </cell>
          <cell r="GE159">
            <v>0</v>
          </cell>
          <cell r="GF159">
            <v>0</v>
          </cell>
          <cell r="GG159">
            <v>0.57077600000000006</v>
          </cell>
          <cell r="GH159">
            <v>0.37892300000000001</v>
          </cell>
          <cell r="GI159">
            <v>1.46922</v>
          </cell>
          <cell r="GJ159">
            <v>7.6655901000000002</v>
          </cell>
          <cell r="GK159">
            <v>2.7776000000000001</v>
          </cell>
          <cell r="GL159">
            <v>0</v>
          </cell>
          <cell r="GM159">
            <v>0.69347000000000003</v>
          </cell>
          <cell r="GN159">
            <v>0.42905499999999996</v>
          </cell>
          <cell r="GO159">
            <v>3.80036</v>
          </cell>
          <cell r="GP159">
            <v>24.219467399999999</v>
          </cell>
          <cell r="GQ159">
            <v>19.073484700000002</v>
          </cell>
          <cell r="GR159" t="str">
            <v>nd</v>
          </cell>
          <cell r="GS159">
            <v>0</v>
          </cell>
          <cell r="GT159" t="str">
            <v>nd</v>
          </cell>
          <cell r="GU159">
            <v>0.45841299999999996</v>
          </cell>
          <cell r="GV159">
            <v>15.187830899999998</v>
          </cell>
          <cell r="GW159">
            <v>18.961696700000001</v>
          </cell>
          <cell r="GX159">
            <v>0</v>
          </cell>
          <cell r="GY159">
            <v>0</v>
          </cell>
          <cell r="GZ159">
            <v>0</v>
          </cell>
          <cell r="HA159" t="str">
            <v>nd</v>
          </cell>
          <cell r="HB159">
            <v>1.9512399999999999</v>
          </cell>
          <cell r="HC159">
            <v>1.7235799999999999</v>
          </cell>
          <cell r="HD159">
            <v>0</v>
          </cell>
          <cell r="HE159">
            <v>0</v>
          </cell>
          <cell r="HF159">
            <v>0</v>
          </cell>
          <cell r="HG159">
            <v>0</v>
          </cell>
          <cell r="HH159">
            <v>0</v>
          </cell>
          <cell r="HI159">
            <v>0</v>
          </cell>
          <cell r="HJ159">
            <v>0</v>
          </cell>
          <cell r="HK159">
            <v>0</v>
          </cell>
          <cell r="HL159">
            <v>1.2701899999999999</v>
          </cell>
          <cell r="HM159">
            <v>12.152418600000001</v>
          </cell>
          <cell r="HN159" t="str">
            <v>nd</v>
          </cell>
          <cell r="HO159">
            <v>0</v>
          </cell>
          <cell r="HP159">
            <v>0</v>
          </cell>
          <cell r="HQ159">
            <v>0</v>
          </cell>
          <cell r="HR159">
            <v>1.8136300000000001</v>
          </cell>
          <cell r="HS159">
            <v>45.473926200000001</v>
          </cell>
          <cell r="HT159">
            <v>0.586395</v>
          </cell>
          <cell r="HU159" t="str">
            <v>nd</v>
          </cell>
          <cell r="HV159">
            <v>0</v>
          </cell>
          <cell r="HW159" t="str">
            <v>nd</v>
          </cell>
          <cell r="HX159">
            <v>2.2968100000000002</v>
          </cell>
          <cell r="HY159">
            <v>30.949455999999998</v>
          </cell>
          <cell r="HZ159">
            <v>0.89113000000000009</v>
          </cell>
          <cell r="IA159">
            <v>0</v>
          </cell>
          <cell r="IB159">
            <v>0</v>
          </cell>
          <cell r="IC159" t="str">
            <v>nd</v>
          </cell>
          <cell r="ID159">
            <v>0.64515999999999996</v>
          </cell>
          <cell r="IE159">
            <v>3.1907900000000002</v>
          </cell>
          <cell r="IF159" t="str">
            <v>nd</v>
          </cell>
          <cell r="IG159">
            <v>0</v>
          </cell>
          <cell r="IH159">
            <v>0</v>
          </cell>
          <cell r="II159">
            <v>0</v>
          </cell>
          <cell r="IJ159">
            <v>0</v>
          </cell>
          <cell r="IK159">
            <v>0</v>
          </cell>
          <cell r="IL159">
            <v>0</v>
          </cell>
          <cell r="IM159">
            <v>0</v>
          </cell>
          <cell r="IN159" t="str">
            <v>nd</v>
          </cell>
          <cell r="IO159">
            <v>2.21618</v>
          </cell>
          <cell r="IP159">
            <v>8.7988049000000004</v>
          </cell>
          <cell r="IQ159">
            <v>0.50510299999999997</v>
          </cell>
          <cell r="IR159">
            <v>0</v>
          </cell>
          <cell r="IS159">
            <v>0</v>
          </cell>
          <cell r="IT159" t="str">
            <v>nd</v>
          </cell>
          <cell r="IU159">
            <v>5.29495</v>
          </cell>
          <cell r="IV159">
            <v>42.0722418</v>
          </cell>
          <cell r="IW159">
            <v>1.39</v>
          </cell>
          <cell r="IX159">
            <v>0</v>
          </cell>
          <cell r="IY159" t="str">
            <v>nd</v>
          </cell>
          <cell r="IZ159" t="str">
            <v>nd</v>
          </cell>
          <cell r="JA159">
            <v>3.0179399999999998</v>
          </cell>
          <cell r="JB159">
            <v>29.439075199999998</v>
          </cell>
          <cell r="JC159">
            <v>2.5939899999999998</v>
          </cell>
          <cell r="JD159">
            <v>0</v>
          </cell>
          <cell r="JE159">
            <v>0</v>
          </cell>
          <cell r="JF159">
            <v>0</v>
          </cell>
          <cell r="JG159">
            <v>0.89245999999999992</v>
          </cell>
          <cell r="JH159">
            <v>2.27203</v>
          </cell>
          <cell r="JI159">
            <v>1.0963099999999999</v>
          </cell>
          <cell r="JJ159">
            <v>0</v>
          </cell>
          <cell r="JK159">
            <v>0</v>
          </cell>
          <cell r="JL159">
            <v>0</v>
          </cell>
          <cell r="JM159">
            <v>0</v>
          </cell>
          <cell r="JN159">
            <v>0</v>
          </cell>
          <cell r="JO159">
            <v>0</v>
          </cell>
          <cell r="JP159">
            <v>0</v>
          </cell>
          <cell r="JQ159">
            <v>0</v>
          </cell>
          <cell r="JR159" t="str">
            <v>nd</v>
          </cell>
          <cell r="JS159">
            <v>0.93689</v>
          </cell>
          <cell r="JT159">
            <v>11.586680400000001</v>
          </cell>
          <cell r="JU159">
            <v>0</v>
          </cell>
          <cell r="JV159">
            <v>0</v>
          </cell>
          <cell r="JW159">
            <v>0</v>
          </cell>
          <cell r="JX159" t="str">
            <v>nd</v>
          </cell>
          <cell r="JY159">
            <v>0.660694</v>
          </cell>
          <cell r="JZ159">
            <v>47.772939000000001</v>
          </cell>
          <cell r="KA159">
            <v>0</v>
          </cell>
          <cell r="KB159">
            <v>0</v>
          </cell>
          <cell r="KC159">
            <v>0</v>
          </cell>
          <cell r="KD159" t="str">
            <v>nd</v>
          </cell>
          <cell r="KE159">
            <v>0.60295500000000002</v>
          </cell>
          <cell r="KF159">
            <v>34.126874899999997</v>
          </cell>
          <cell r="KG159">
            <v>0</v>
          </cell>
          <cell r="KH159">
            <v>0</v>
          </cell>
          <cell r="KI159">
            <v>0</v>
          </cell>
          <cell r="KJ159">
            <v>0</v>
          </cell>
          <cell r="KK159">
            <v>0</v>
          </cell>
          <cell r="KL159">
            <v>4.18499</v>
          </cell>
          <cell r="KM159">
            <v>60.4</v>
          </cell>
          <cell r="KN159">
            <v>23.599999999999998</v>
          </cell>
          <cell r="KO159">
            <v>4.5</v>
          </cell>
          <cell r="KP159">
            <v>5.4</v>
          </cell>
          <cell r="KQ159">
            <v>6</v>
          </cell>
          <cell r="KR159">
            <v>0.1</v>
          </cell>
          <cell r="KS159">
            <v>58.3</v>
          </cell>
          <cell r="KT159">
            <v>24.3</v>
          </cell>
          <cell r="KU159">
            <v>4.8</v>
          </cell>
          <cell r="KV159">
            <v>5.7</v>
          </cell>
          <cell r="KW159">
            <v>6.8000000000000007</v>
          </cell>
          <cell r="KX159">
            <v>0.1</v>
          </cell>
          <cell r="KY159"/>
          <cell r="KZ159"/>
          <cell r="LA159"/>
          <cell r="LB159"/>
          <cell r="LC159"/>
          <cell r="LD159"/>
          <cell r="LE159"/>
          <cell r="LF159"/>
          <cell r="LG159"/>
          <cell r="LH159"/>
          <cell r="LI159"/>
          <cell r="LJ159"/>
          <cell r="LK159"/>
          <cell r="LL159"/>
          <cell r="LM159"/>
          <cell r="LN159"/>
          <cell r="LO159"/>
        </row>
        <row r="160">
          <cell r="A160" t="str">
            <v>AET2</v>
          </cell>
          <cell r="B160" t="str">
            <v>160</v>
          </cell>
          <cell r="C160" t="str">
            <v>NAF 4</v>
          </cell>
          <cell r="D160" t="str">
            <v>ET2</v>
          </cell>
          <cell r="E160" t="str">
            <v>A</v>
          </cell>
          <cell r="F160">
            <v>0.4</v>
          </cell>
          <cell r="G160">
            <v>8.9</v>
          </cell>
          <cell r="H160">
            <v>38.700000000000003</v>
          </cell>
          <cell r="I160">
            <v>40.699999999999996</v>
          </cell>
          <cell r="J160">
            <v>11.4</v>
          </cell>
          <cell r="K160">
            <v>75.900000000000006</v>
          </cell>
          <cell r="L160">
            <v>9.5</v>
          </cell>
          <cell r="M160">
            <v>9.5</v>
          </cell>
          <cell r="N160">
            <v>5.0999999999999996</v>
          </cell>
          <cell r="O160">
            <v>24.4</v>
          </cell>
          <cell r="P160">
            <v>19.100000000000001</v>
          </cell>
          <cell r="Q160">
            <v>21.6</v>
          </cell>
          <cell r="R160">
            <v>7.3999999999999995</v>
          </cell>
          <cell r="S160">
            <v>12.3</v>
          </cell>
          <cell r="T160">
            <v>46.9</v>
          </cell>
          <cell r="U160">
            <v>4.3</v>
          </cell>
          <cell r="V160">
            <v>15.2</v>
          </cell>
          <cell r="W160">
            <v>12.2</v>
          </cell>
          <cell r="X160">
            <v>84.5</v>
          </cell>
          <cell r="Y160">
            <v>3.3000000000000003</v>
          </cell>
          <cell r="Z160">
            <v>10.299999999999999</v>
          </cell>
          <cell r="AA160">
            <v>31.6</v>
          </cell>
          <cell r="AB160">
            <v>19.7</v>
          </cell>
          <cell r="AC160">
            <v>38.5</v>
          </cell>
          <cell r="AD160">
            <v>19.7</v>
          </cell>
          <cell r="AE160">
            <v>43.5</v>
          </cell>
          <cell r="AF160">
            <v>56.499999999999993</v>
          </cell>
          <cell r="AG160">
            <v>44.1</v>
          </cell>
          <cell r="AH160">
            <v>55.900000000000006</v>
          </cell>
          <cell r="AI160">
            <v>67.300000000000011</v>
          </cell>
          <cell r="AJ160">
            <v>0.89999999999999991</v>
          </cell>
          <cell r="AK160">
            <v>2.5</v>
          </cell>
          <cell r="AL160">
            <v>25.8</v>
          </cell>
          <cell r="AM160">
            <v>3.5000000000000004</v>
          </cell>
          <cell r="AN160">
            <v>6.9</v>
          </cell>
          <cell r="AO160">
            <v>3.2</v>
          </cell>
          <cell r="AP160">
            <v>2.1</v>
          </cell>
          <cell r="AQ160">
            <v>86.8</v>
          </cell>
          <cell r="AR160">
            <v>0.89999999999999991</v>
          </cell>
          <cell r="AS160">
            <v>74.400000000000006</v>
          </cell>
          <cell r="AT160">
            <v>11.3</v>
          </cell>
          <cell r="AU160">
            <v>3.4000000000000004</v>
          </cell>
          <cell r="AV160">
            <v>2.4</v>
          </cell>
          <cell r="AW160">
            <v>2.7</v>
          </cell>
          <cell r="AX160">
            <v>5.7</v>
          </cell>
          <cell r="AY160">
            <v>1.2</v>
          </cell>
          <cell r="AZ160">
            <v>0.89999999999999991</v>
          </cell>
          <cell r="BA160">
            <v>0.6</v>
          </cell>
          <cell r="BB160">
            <v>3.9</v>
          </cell>
          <cell r="BC160">
            <v>24</v>
          </cell>
          <cell r="BD160">
            <v>69.3</v>
          </cell>
          <cell r="BE160">
            <v>0.89999999999999991</v>
          </cell>
          <cell r="BF160">
            <v>1.0999999999999999</v>
          </cell>
          <cell r="BG160">
            <v>2.1999999999999997</v>
          </cell>
          <cell r="BH160">
            <v>5.8000000000000007</v>
          </cell>
          <cell r="BI160">
            <v>19.100000000000001</v>
          </cell>
          <cell r="BJ160">
            <v>70.8</v>
          </cell>
          <cell r="BK160" t="str">
            <v>nd</v>
          </cell>
          <cell r="BL160" t="str">
            <v>nd</v>
          </cell>
          <cell r="BM160">
            <v>0.8</v>
          </cell>
          <cell r="BN160">
            <v>8.3000000000000007</v>
          </cell>
          <cell r="BO160">
            <v>50.6</v>
          </cell>
          <cell r="BP160">
            <v>39.5</v>
          </cell>
          <cell r="BQ160" t="str">
            <v>nd</v>
          </cell>
          <cell r="BR160" t="str">
            <v>nd</v>
          </cell>
          <cell r="BS160">
            <v>1.7999999999999998</v>
          </cell>
          <cell r="BT160">
            <v>5.5</v>
          </cell>
          <cell r="BU160">
            <v>39.700000000000003</v>
          </cell>
          <cell r="BV160">
            <v>52.5</v>
          </cell>
          <cell r="BW160">
            <v>0</v>
          </cell>
          <cell r="BX160">
            <v>0</v>
          </cell>
          <cell r="BY160" t="str">
            <v>nd</v>
          </cell>
          <cell r="BZ160" t="str">
            <v>nd</v>
          </cell>
          <cell r="CA160">
            <v>1.4000000000000001</v>
          </cell>
          <cell r="CB160">
            <v>98.5</v>
          </cell>
          <cell r="CC160">
            <v>17</v>
          </cell>
          <cell r="CD160">
            <v>10.6</v>
          </cell>
          <cell r="CE160">
            <v>1.9</v>
          </cell>
          <cell r="CF160">
            <v>4</v>
          </cell>
          <cell r="CG160" t="str">
            <v>nd</v>
          </cell>
          <cell r="CH160">
            <v>21.2</v>
          </cell>
          <cell r="CI160">
            <v>9.1</v>
          </cell>
          <cell r="CJ160">
            <v>62.9</v>
          </cell>
          <cell r="CK160">
            <v>29.5</v>
          </cell>
          <cell r="CL160">
            <v>1.7000000000000002</v>
          </cell>
          <cell r="CM160">
            <v>1.3</v>
          </cell>
          <cell r="CN160">
            <v>0.70000000000000007</v>
          </cell>
          <cell r="CO160">
            <v>68</v>
          </cell>
          <cell r="CP160">
            <v>25.6</v>
          </cell>
          <cell r="CQ160">
            <v>37.299999999999997</v>
          </cell>
          <cell r="CR160">
            <v>9.7000000000000011</v>
          </cell>
          <cell r="CS160">
            <v>27.400000000000002</v>
          </cell>
          <cell r="CT160">
            <v>11</v>
          </cell>
          <cell r="CU160">
            <v>89</v>
          </cell>
          <cell r="CV160">
            <v>13.4</v>
          </cell>
          <cell r="CW160">
            <v>86.6</v>
          </cell>
          <cell r="CX160">
            <v>13.700000000000001</v>
          </cell>
          <cell r="CY160">
            <v>37.299999999999997</v>
          </cell>
          <cell r="CZ160">
            <v>49</v>
          </cell>
          <cell r="DA160">
            <v>20.8</v>
          </cell>
          <cell r="DB160">
            <v>20</v>
          </cell>
          <cell r="DC160">
            <v>20.8</v>
          </cell>
          <cell r="DD160">
            <v>3.1</v>
          </cell>
          <cell r="DE160">
            <v>47.699999999999996</v>
          </cell>
          <cell r="DF160">
            <v>17.399999999999999</v>
          </cell>
          <cell r="DG160">
            <v>7.0000000000000009</v>
          </cell>
          <cell r="DH160">
            <v>17.2</v>
          </cell>
          <cell r="DI160">
            <v>12.7</v>
          </cell>
          <cell r="DJ160">
            <v>20.8</v>
          </cell>
          <cell r="DK160">
            <v>24.9</v>
          </cell>
          <cell r="DL160">
            <v>22.400000000000002</v>
          </cell>
          <cell r="DM160">
            <v>49.8</v>
          </cell>
          <cell r="DN160">
            <v>4.2</v>
          </cell>
          <cell r="DO160">
            <v>12</v>
          </cell>
          <cell r="DP160">
            <v>3.5999999999999996</v>
          </cell>
          <cell r="DQ160" t="str">
            <v>nd</v>
          </cell>
          <cell r="DR160">
            <v>15</v>
          </cell>
          <cell r="DS160">
            <v>8.3000000000000007</v>
          </cell>
          <cell r="DT160">
            <v>14.000000000000002</v>
          </cell>
          <cell r="DU160" t="str">
            <v>nd</v>
          </cell>
          <cell r="DV160" t="str">
            <v>nd</v>
          </cell>
          <cell r="DW160" t="str">
            <v>nd</v>
          </cell>
          <cell r="DX160">
            <v>0</v>
          </cell>
          <cell r="DY160" t="str">
            <v>nd</v>
          </cell>
          <cell r="DZ160">
            <v>4.77942</v>
          </cell>
          <cell r="EA160">
            <v>2.48672</v>
          </cell>
          <cell r="EB160">
            <v>1.26372</v>
          </cell>
          <cell r="EC160" t="str">
            <v>nd</v>
          </cell>
          <cell r="ED160">
            <v>0</v>
          </cell>
          <cell r="EE160" t="str">
            <v>nd</v>
          </cell>
          <cell r="EF160">
            <v>26.936256800000002</v>
          </cell>
          <cell r="EG160">
            <v>5.6997200000000001</v>
          </cell>
          <cell r="EH160">
            <v>1.9237400000000002</v>
          </cell>
          <cell r="EI160">
            <v>1.9557100000000001</v>
          </cell>
          <cell r="EJ160">
            <v>1.1210199999999999</v>
          </cell>
          <cell r="EK160">
            <v>1.27376</v>
          </cell>
          <cell r="EL160">
            <v>33.464784800000004</v>
          </cell>
          <cell r="EM160">
            <v>1.9846200000000001</v>
          </cell>
          <cell r="EN160" t="str">
            <v>nd</v>
          </cell>
          <cell r="EO160">
            <v>0.29403099999999999</v>
          </cell>
          <cell r="EP160">
            <v>0.95204</v>
          </cell>
          <cell r="EQ160">
            <v>3.4634</v>
          </cell>
          <cell r="ER160">
            <v>9.0687225999999992</v>
          </cell>
          <cell r="ES160">
            <v>1.18082</v>
          </cell>
          <cell r="ET160" t="str">
            <v>nd</v>
          </cell>
          <cell r="EU160" t="str">
            <v>nd</v>
          </cell>
          <cell r="EV160" t="str">
            <v>nd</v>
          </cell>
          <cell r="EW160">
            <v>0.46667799999999998</v>
          </cell>
          <cell r="EX160">
            <v>0</v>
          </cell>
          <cell r="EY160" t="str">
            <v>nd</v>
          </cell>
          <cell r="EZ160" t="str">
            <v>nd</v>
          </cell>
          <cell r="FA160">
            <v>0</v>
          </cell>
          <cell r="FB160" t="str">
            <v>nd</v>
          </cell>
          <cell r="FC160">
            <v>0</v>
          </cell>
          <cell r="FD160" t="str">
            <v>nd</v>
          </cell>
          <cell r="FE160" t="str">
            <v>nd</v>
          </cell>
          <cell r="FF160">
            <v>0.84331999999999996</v>
          </cell>
          <cell r="FG160">
            <v>2.62561</v>
          </cell>
          <cell r="FH160">
            <v>4.5455700000000006</v>
          </cell>
          <cell r="FI160">
            <v>0.64378899999999994</v>
          </cell>
          <cell r="FJ160">
            <v>0.41879500000000003</v>
          </cell>
          <cell r="FK160" t="str">
            <v>nd</v>
          </cell>
          <cell r="FL160">
            <v>1.70224</v>
          </cell>
          <cell r="FM160">
            <v>11.333047499999999</v>
          </cell>
          <cell r="FN160">
            <v>25.193370900000001</v>
          </cell>
          <cell r="FO160">
            <v>0.48220399999999997</v>
          </cell>
          <cell r="FP160" t="str">
            <v>nd</v>
          </cell>
          <cell r="FQ160" t="str">
            <v>nd</v>
          </cell>
          <cell r="FR160">
            <v>1.0080799999999999</v>
          </cell>
          <cell r="FS160">
            <v>6.5677039000000006</v>
          </cell>
          <cell r="FT160">
            <v>32.682816100000004</v>
          </cell>
          <cell r="FU160" t="str">
            <v>nd</v>
          </cell>
          <cell r="FV160">
            <v>0</v>
          </cell>
          <cell r="FW160" t="str">
            <v>nd</v>
          </cell>
          <cell r="FX160">
            <v>0.32485799999999998</v>
          </cell>
          <cell r="FY160">
            <v>3.4161299999999999</v>
          </cell>
          <cell r="FZ160">
            <v>6.5869762999999999</v>
          </cell>
          <cell r="GA160" t="str">
            <v>nd</v>
          </cell>
          <cell r="GB160">
            <v>0</v>
          </cell>
          <cell r="GC160">
            <v>0</v>
          </cell>
          <cell r="GD160" t="str">
            <v>nd</v>
          </cell>
          <cell r="GE160" t="str">
            <v>nd</v>
          </cell>
          <cell r="GF160">
            <v>0.38780700000000001</v>
          </cell>
          <cell r="GG160">
            <v>0.92341000000000006</v>
          </cell>
          <cell r="GH160">
            <v>0.81613999999999987</v>
          </cell>
          <cell r="GI160">
            <v>1.24875</v>
          </cell>
          <cell r="GJ160">
            <v>2.40198</v>
          </cell>
          <cell r="GK160">
            <v>3.5023400000000002</v>
          </cell>
          <cell r="GL160">
            <v>0.41625300000000004</v>
          </cell>
          <cell r="GM160" t="str">
            <v>nd</v>
          </cell>
          <cell r="GN160">
            <v>1.1018399999999999</v>
          </cell>
          <cell r="GO160">
            <v>4.0991499999999998</v>
          </cell>
          <cell r="GP160">
            <v>8.5222431000000007</v>
          </cell>
          <cell r="GQ160">
            <v>24.604976199999999</v>
          </cell>
          <cell r="GR160">
            <v>0</v>
          </cell>
          <cell r="GS160">
            <v>0</v>
          </cell>
          <cell r="GT160" t="str">
            <v>nd</v>
          </cell>
          <cell r="GU160" t="str">
            <v>nd</v>
          </cell>
          <cell r="GV160">
            <v>5.8946399999999999</v>
          </cell>
          <cell r="GW160">
            <v>34.548953500000003</v>
          </cell>
          <cell r="GX160">
            <v>0</v>
          </cell>
          <cell r="GY160">
            <v>0</v>
          </cell>
          <cell r="GZ160">
            <v>0</v>
          </cell>
          <cell r="HA160">
            <v>0</v>
          </cell>
          <cell r="HB160">
            <v>2.3198599999999998</v>
          </cell>
          <cell r="HC160">
            <v>8.040520299999999</v>
          </cell>
          <cell r="HD160">
            <v>0</v>
          </cell>
          <cell r="HE160" t="str">
            <v>nd</v>
          </cell>
          <cell r="HF160">
            <v>0</v>
          </cell>
          <cell r="HG160">
            <v>0</v>
          </cell>
          <cell r="HH160" t="str">
            <v>nd</v>
          </cell>
          <cell r="HI160">
            <v>0</v>
          </cell>
          <cell r="HJ160" t="str">
            <v>nd</v>
          </cell>
          <cell r="HK160">
            <v>0</v>
          </cell>
          <cell r="HL160">
            <v>0.91086</v>
          </cell>
          <cell r="HM160">
            <v>3.9936600000000002</v>
          </cell>
          <cell r="HN160">
            <v>3.7460800000000001</v>
          </cell>
          <cell r="HO160" t="str">
            <v>nd</v>
          </cell>
          <cell r="HP160">
            <v>0</v>
          </cell>
          <cell r="HQ160" t="str">
            <v>nd</v>
          </cell>
          <cell r="HR160">
            <v>3.8674600000000003</v>
          </cell>
          <cell r="HS160">
            <v>20.539877799999999</v>
          </cell>
          <cell r="HT160">
            <v>13.2296795</v>
          </cell>
          <cell r="HU160">
            <v>0</v>
          </cell>
          <cell r="HV160" t="str">
            <v>nd</v>
          </cell>
          <cell r="HW160" t="str">
            <v>nd</v>
          </cell>
          <cell r="HX160">
            <v>2.5974400000000002</v>
          </cell>
          <cell r="HY160">
            <v>20.191944500000002</v>
          </cell>
          <cell r="HZ160">
            <v>17.4327595</v>
          </cell>
          <cell r="IA160">
            <v>0</v>
          </cell>
          <cell r="IB160">
            <v>0</v>
          </cell>
          <cell r="IC160" t="str">
            <v>nd</v>
          </cell>
          <cell r="ID160">
            <v>0.91254999999999997</v>
          </cell>
          <cell r="IE160">
            <v>5.8727799999999997</v>
          </cell>
          <cell r="IF160">
            <v>4.5926799999999997</v>
          </cell>
          <cell r="IG160">
            <v>0</v>
          </cell>
          <cell r="IH160" t="str">
            <v>nd</v>
          </cell>
          <cell r="II160">
            <v>0</v>
          </cell>
          <cell r="IJ160" t="str">
            <v>nd</v>
          </cell>
          <cell r="IK160" t="str">
            <v>nd</v>
          </cell>
          <cell r="IL160">
            <v>0</v>
          </cell>
          <cell r="IM160">
            <v>0</v>
          </cell>
          <cell r="IN160">
            <v>0</v>
          </cell>
          <cell r="IO160">
            <v>0.88787999999999989</v>
          </cell>
          <cell r="IP160">
            <v>3.4823399999999998</v>
          </cell>
          <cell r="IQ160">
            <v>4.1590600000000002</v>
          </cell>
          <cell r="IR160">
            <v>0</v>
          </cell>
          <cell r="IS160">
            <v>0</v>
          </cell>
          <cell r="IT160">
            <v>0.80383999999999989</v>
          </cell>
          <cell r="IU160">
            <v>2.5652999999999997</v>
          </cell>
          <cell r="IV160">
            <v>16.133300000000002</v>
          </cell>
          <cell r="IW160">
            <v>18.8665232</v>
          </cell>
          <cell r="IX160" t="str">
            <v>nd</v>
          </cell>
          <cell r="IY160" t="str">
            <v>nd</v>
          </cell>
          <cell r="IZ160">
            <v>1.11124</v>
          </cell>
          <cell r="JA160">
            <v>1.3260700000000001</v>
          </cell>
          <cell r="JB160">
            <v>15.7085946</v>
          </cell>
          <cell r="JC160">
            <v>22.936057100000003</v>
          </cell>
          <cell r="JD160">
            <v>0</v>
          </cell>
          <cell r="JE160">
            <v>0</v>
          </cell>
          <cell r="JF160">
            <v>0</v>
          </cell>
          <cell r="JG160">
            <v>0.75629900000000005</v>
          </cell>
          <cell r="JH160">
            <v>3.8905299999999996</v>
          </cell>
          <cell r="JI160">
            <v>6.5177941000000006</v>
          </cell>
          <cell r="JJ160">
            <v>0</v>
          </cell>
          <cell r="JK160">
            <v>0</v>
          </cell>
          <cell r="JL160">
            <v>0</v>
          </cell>
          <cell r="JM160">
            <v>0</v>
          </cell>
          <cell r="JN160">
            <v>0.42379</v>
          </cell>
          <cell r="JO160">
            <v>0</v>
          </cell>
          <cell r="JP160">
            <v>0</v>
          </cell>
          <cell r="JQ160">
            <v>0</v>
          </cell>
          <cell r="JR160" t="str">
            <v>nd</v>
          </cell>
          <cell r="JS160">
            <v>0</v>
          </cell>
          <cell r="JT160">
            <v>8.8398424000000002</v>
          </cell>
          <cell r="JU160">
            <v>0</v>
          </cell>
          <cell r="JV160">
            <v>0</v>
          </cell>
          <cell r="JW160" t="str">
            <v>nd</v>
          </cell>
          <cell r="JX160">
            <v>0</v>
          </cell>
          <cell r="JY160">
            <v>0.74351499999999993</v>
          </cell>
          <cell r="JZ160">
            <v>37.9760031</v>
          </cell>
          <cell r="KA160">
            <v>0</v>
          </cell>
          <cell r="KB160">
            <v>0</v>
          </cell>
          <cell r="KC160">
            <v>0</v>
          </cell>
          <cell r="KD160">
            <v>0</v>
          </cell>
          <cell r="KE160" t="str">
            <v>nd</v>
          </cell>
          <cell r="KF160">
            <v>40.724558399999999</v>
          </cell>
          <cell r="KG160">
            <v>0</v>
          </cell>
          <cell r="KH160">
            <v>0</v>
          </cell>
          <cell r="KI160">
            <v>0</v>
          </cell>
          <cell r="KJ160">
            <v>0</v>
          </cell>
          <cell r="KK160" t="str">
            <v>nd</v>
          </cell>
          <cell r="KL160">
            <v>10.457607100000001</v>
          </cell>
          <cell r="KM160">
            <v>79.7</v>
          </cell>
          <cell r="KN160">
            <v>3.9</v>
          </cell>
          <cell r="KO160">
            <v>4.8</v>
          </cell>
          <cell r="KP160">
            <v>6.6000000000000005</v>
          </cell>
          <cell r="KQ160">
            <v>4.9000000000000004</v>
          </cell>
          <cell r="KR160">
            <v>0.2</v>
          </cell>
          <cell r="KS160">
            <v>78.7</v>
          </cell>
          <cell r="KT160">
            <v>4</v>
          </cell>
          <cell r="KU160">
            <v>5.0999999999999996</v>
          </cell>
          <cell r="KV160">
            <v>7.0000000000000009</v>
          </cell>
          <cell r="KW160">
            <v>5</v>
          </cell>
          <cell r="KX160">
            <v>0.1</v>
          </cell>
          <cell r="KY160"/>
          <cell r="KZ160"/>
          <cell r="LA160"/>
          <cell r="LB160"/>
          <cell r="LC160"/>
          <cell r="LD160"/>
          <cell r="LE160"/>
          <cell r="LF160"/>
          <cell r="LG160"/>
          <cell r="LH160"/>
          <cell r="LI160"/>
          <cell r="LJ160"/>
          <cell r="LK160"/>
          <cell r="LL160"/>
          <cell r="LM160"/>
          <cell r="LN160"/>
          <cell r="LO160"/>
        </row>
        <row r="161">
          <cell r="A161" t="str">
            <v>BET2</v>
          </cell>
          <cell r="B161" t="str">
            <v>161</v>
          </cell>
          <cell r="C161" t="str">
            <v>NAF 4</v>
          </cell>
          <cell r="D161" t="str">
            <v>ET2</v>
          </cell>
          <cell r="E161" t="str">
            <v>B</v>
          </cell>
          <cell r="F161">
            <v>0.2</v>
          </cell>
          <cell r="G161">
            <v>9.1999999999999993</v>
          </cell>
          <cell r="H161">
            <v>41.199999999999996</v>
          </cell>
          <cell r="I161">
            <v>39.700000000000003</v>
          </cell>
          <cell r="J161">
            <v>9.7000000000000011</v>
          </cell>
          <cell r="K161">
            <v>78</v>
          </cell>
          <cell r="L161">
            <v>6.2</v>
          </cell>
          <cell r="M161">
            <v>10.4</v>
          </cell>
          <cell r="N161">
            <v>5.4</v>
          </cell>
          <cell r="O161">
            <v>31.3</v>
          </cell>
          <cell r="P161">
            <v>22.5</v>
          </cell>
          <cell r="Q161">
            <v>20.9</v>
          </cell>
          <cell r="R161">
            <v>7.3</v>
          </cell>
          <cell r="S161">
            <v>12.6</v>
          </cell>
          <cell r="T161">
            <v>44.800000000000004</v>
          </cell>
          <cell r="U161">
            <v>2.7</v>
          </cell>
          <cell r="V161">
            <v>20.8</v>
          </cell>
          <cell r="W161">
            <v>13.5</v>
          </cell>
          <cell r="X161">
            <v>81.5</v>
          </cell>
          <cell r="Y161">
            <v>5</v>
          </cell>
          <cell r="Z161">
            <v>15.5</v>
          </cell>
          <cell r="AA161">
            <v>50.4</v>
          </cell>
          <cell r="AB161">
            <v>22.5</v>
          </cell>
          <cell r="AC161">
            <v>56.599999999999994</v>
          </cell>
          <cell r="AD161">
            <v>21.7</v>
          </cell>
          <cell r="AE161">
            <v>69.3</v>
          </cell>
          <cell r="AF161">
            <v>30.7</v>
          </cell>
          <cell r="AG161">
            <v>71.599999999999994</v>
          </cell>
          <cell r="AH161">
            <v>28.4</v>
          </cell>
          <cell r="AI161">
            <v>53.800000000000004</v>
          </cell>
          <cell r="AJ161">
            <v>2.6</v>
          </cell>
          <cell r="AK161">
            <v>2.1999999999999997</v>
          </cell>
          <cell r="AL161">
            <v>35.6</v>
          </cell>
          <cell r="AM161">
            <v>5.8000000000000007</v>
          </cell>
          <cell r="AN161">
            <v>14.000000000000002</v>
          </cell>
          <cell r="AO161">
            <v>4.2</v>
          </cell>
          <cell r="AP161">
            <v>4.2</v>
          </cell>
          <cell r="AQ161">
            <v>72.3</v>
          </cell>
          <cell r="AR161">
            <v>5.3</v>
          </cell>
          <cell r="AS161">
            <v>64.5</v>
          </cell>
          <cell r="AT161">
            <v>20.5</v>
          </cell>
          <cell r="AU161">
            <v>6.7</v>
          </cell>
          <cell r="AV161">
            <v>2.4</v>
          </cell>
          <cell r="AW161">
            <v>2.5</v>
          </cell>
          <cell r="AX161">
            <v>3.4000000000000004</v>
          </cell>
          <cell r="AY161">
            <v>1.0999999999999999</v>
          </cell>
          <cell r="AZ161">
            <v>2.4</v>
          </cell>
          <cell r="BA161">
            <v>5.3</v>
          </cell>
          <cell r="BB161">
            <v>14.499999999999998</v>
          </cell>
          <cell r="BC161">
            <v>46.800000000000004</v>
          </cell>
          <cell r="BD161">
            <v>30</v>
          </cell>
          <cell r="BE161">
            <v>0.6</v>
          </cell>
          <cell r="BF161">
            <v>1.6</v>
          </cell>
          <cell r="BG161">
            <v>3</v>
          </cell>
          <cell r="BH161">
            <v>8.6</v>
          </cell>
          <cell r="BI161">
            <v>40.6</v>
          </cell>
          <cell r="BJ161">
            <v>45.6</v>
          </cell>
          <cell r="BK161">
            <v>0</v>
          </cell>
          <cell r="BL161">
            <v>0</v>
          </cell>
          <cell r="BM161">
            <v>0.3</v>
          </cell>
          <cell r="BN161">
            <v>6.9</v>
          </cell>
          <cell r="BO161">
            <v>83</v>
          </cell>
          <cell r="BP161">
            <v>9.8000000000000007</v>
          </cell>
          <cell r="BQ161" t="str">
            <v>nd</v>
          </cell>
          <cell r="BR161" t="str">
            <v>nd</v>
          </cell>
          <cell r="BS161">
            <v>0.70000000000000007</v>
          </cell>
          <cell r="BT161">
            <v>9.7000000000000011</v>
          </cell>
          <cell r="BU161">
            <v>66.3</v>
          </cell>
          <cell r="BV161">
            <v>23</v>
          </cell>
          <cell r="BW161">
            <v>0</v>
          </cell>
          <cell r="BX161">
            <v>0</v>
          </cell>
          <cell r="BY161">
            <v>0</v>
          </cell>
          <cell r="BZ161" t="str">
            <v>nd</v>
          </cell>
          <cell r="CA161">
            <v>0.6</v>
          </cell>
          <cell r="CB161">
            <v>99.4</v>
          </cell>
          <cell r="CC161">
            <v>23.599999999999998</v>
          </cell>
          <cell r="CD161">
            <v>11.4</v>
          </cell>
          <cell r="CE161">
            <v>1.0999999999999999</v>
          </cell>
          <cell r="CF161">
            <v>1.3</v>
          </cell>
          <cell r="CG161">
            <v>0.5</v>
          </cell>
          <cell r="CH161">
            <v>18.3</v>
          </cell>
          <cell r="CI161">
            <v>6.4</v>
          </cell>
          <cell r="CJ161">
            <v>56.999999999999993</v>
          </cell>
          <cell r="CK161">
            <v>40.1</v>
          </cell>
          <cell r="CL161">
            <v>6.4</v>
          </cell>
          <cell r="CM161">
            <v>2.4</v>
          </cell>
          <cell r="CN161">
            <v>1</v>
          </cell>
          <cell r="CO161">
            <v>57.699999999999996</v>
          </cell>
          <cell r="CP161">
            <v>22</v>
          </cell>
          <cell r="CQ161">
            <v>37.4</v>
          </cell>
          <cell r="CR161">
            <v>9.8000000000000007</v>
          </cell>
          <cell r="CS161">
            <v>30.8</v>
          </cell>
          <cell r="CT161">
            <v>12.9</v>
          </cell>
          <cell r="CU161">
            <v>87.1</v>
          </cell>
          <cell r="CV161">
            <v>15.5</v>
          </cell>
          <cell r="CW161">
            <v>84.5</v>
          </cell>
          <cell r="CX161">
            <v>18.3</v>
          </cell>
          <cell r="CY161">
            <v>42.9</v>
          </cell>
          <cell r="CZ161">
            <v>38.800000000000004</v>
          </cell>
          <cell r="DA161">
            <v>32.5</v>
          </cell>
          <cell r="DB161">
            <v>3.6999999999999997</v>
          </cell>
          <cell r="DC161">
            <v>12.9</v>
          </cell>
          <cell r="DD161">
            <v>1.2</v>
          </cell>
          <cell r="DE161">
            <v>63.2</v>
          </cell>
          <cell r="DF161">
            <v>21.099999999999998</v>
          </cell>
          <cell r="DG161">
            <v>6.4</v>
          </cell>
          <cell r="DH161">
            <v>11.899999999999999</v>
          </cell>
          <cell r="DI161">
            <v>13.5</v>
          </cell>
          <cell r="DJ161">
            <v>26</v>
          </cell>
          <cell r="DK161">
            <v>21.099999999999998</v>
          </cell>
          <cell r="DL161">
            <v>20.599999999999998</v>
          </cell>
          <cell r="DM161">
            <v>50</v>
          </cell>
          <cell r="DN161">
            <v>6.2</v>
          </cell>
          <cell r="DO161">
            <v>12.5</v>
          </cell>
          <cell r="DP161">
            <v>5</v>
          </cell>
          <cell r="DQ161">
            <v>1.4000000000000001</v>
          </cell>
          <cell r="DR161">
            <v>16.2</v>
          </cell>
          <cell r="DS161">
            <v>13.200000000000001</v>
          </cell>
          <cell r="DT161">
            <v>18</v>
          </cell>
          <cell r="DU161">
            <v>0</v>
          </cell>
          <cell r="DV161">
            <v>0</v>
          </cell>
          <cell r="DW161">
            <v>0</v>
          </cell>
          <cell r="DX161" t="str">
            <v>nd</v>
          </cell>
          <cell r="DY161" t="str">
            <v>nd</v>
          </cell>
          <cell r="DZ161">
            <v>3.1368499999999999</v>
          </cell>
          <cell r="EA161">
            <v>2.93289</v>
          </cell>
          <cell r="EB161">
            <v>1.6961199999999999</v>
          </cell>
          <cell r="EC161">
            <v>0.96053999999999995</v>
          </cell>
          <cell r="ED161">
            <v>0.30918699999999999</v>
          </cell>
          <cell r="EE161" t="str">
            <v>nd</v>
          </cell>
          <cell r="EF161">
            <v>22.914167299999999</v>
          </cell>
          <cell r="EG161">
            <v>11.8590365</v>
          </cell>
          <cell r="EH161">
            <v>3.7651599999999998</v>
          </cell>
          <cell r="EI161">
            <v>0.99577000000000004</v>
          </cell>
          <cell r="EJ161">
            <v>0.95691999999999999</v>
          </cell>
          <cell r="EK161">
            <v>0.95829999999999993</v>
          </cell>
          <cell r="EL161">
            <v>30.639080499999999</v>
          </cell>
          <cell r="EM161">
            <v>4.9566100000000004</v>
          </cell>
          <cell r="EN161">
            <v>0.89098000000000011</v>
          </cell>
          <cell r="EO161">
            <v>0.28300900000000001</v>
          </cell>
          <cell r="EP161">
            <v>1.0722100000000001</v>
          </cell>
          <cell r="EQ161">
            <v>1.8133799999999998</v>
          </cell>
          <cell r="ER161">
            <v>7.7698193999999994</v>
          </cell>
          <cell r="ES161">
            <v>0.77016699999999993</v>
          </cell>
          <cell r="ET161">
            <v>0.29669200000000001</v>
          </cell>
          <cell r="EU161" t="str">
            <v>nd</v>
          </cell>
          <cell r="EV161">
            <v>0.174511</v>
          </cell>
          <cell r="EW161">
            <v>0.52153099999999997</v>
          </cell>
          <cell r="EX161">
            <v>0</v>
          </cell>
          <cell r="EY161" t="str">
            <v>nd</v>
          </cell>
          <cell r="EZ161">
            <v>0</v>
          </cell>
          <cell r="FA161">
            <v>0</v>
          </cell>
          <cell r="FB161">
            <v>0</v>
          </cell>
          <cell r="FC161" t="str">
            <v>nd</v>
          </cell>
          <cell r="FD161" t="str">
            <v>nd</v>
          </cell>
          <cell r="FE161">
            <v>0.70461099999999999</v>
          </cell>
          <cell r="FF161">
            <v>1.7474000000000001</v>
          </cell>
          <cell r="FG161">
            <v>4.8174000000000001</v>
          </cell>
          <cell r="FH161">
            <v>1.69224</v>
          </cell>
          <cell r="FI161">
            <v>0.43798999999999999</v>
          </cell>
          <cell r="FJ161">
            <v>1.5974300000000001</v>
          </cell>
          <cell r="FK161">
            <v>2.0123700000000002</v>
          </cell>
          <cell r="FL161">
            <v>6.4762378999999992</v>
          </cell>
          <cell r="FM161">
            <v>20.236122099999999</v>
          </cell>
          <cell r="FN161">
            <v>10.651260899999999</v>
          </cell>
          <cell r="FO161">
            <v>0.59464899999999998</v>
          </cell>
          <cell r="FP161">
            <v>0.71596300000000002</v>
          </cell>
          <cell r="FQ161">
            <v>2.0544699999999998</v>
          </cell>
          <cell r="FR161">
            <v>5.4378099999999998</v>
          </cell>
          <cell r="FS161">
            <v>17.252260799999998</v>
          </cell>
          <cell r="FT161">
            <v>13.6903477</v>
          </cell>
          <cell r="FU161">
            <v>0</v>
          </cell>
          <cell r="FV161" t="str">
            <v>nd</v>
          </cell>
          <cell r="FW161">
            <v>0.45714099999999996</v>
          </cell>
          <cell r="FX161">
            <v>0.80198000000000003</v>
          </cell>
          <cell r="FY161">
            <v>4.3930999999999996</v>
          </cell>
          <cell r="FZ161">
            <v>3.9133300000000002</v>
          </cell>
          <cell r="GA161" t="str">
            <v>nd</v>
          </cell>
          <cell r="GB161">
            <v>0</v>
          </cell>
          <cell r="GC161">
            <v>0</v>
          </cell>
          <cell r="GD161">
            <v>0</v>
          </cell>
          <cell r="GE161">
            <v>0</v>
          </cell>
          <cell r="GF161">
            <v>0.401889</v>
          </cell>
          <cell r="GG161">
            <v>0.757104</v>
          </cell>
          <cell r="GH161">
            <v>0.88780000000000003</v>
          </cell>
          <cell r="GI161">
            <v>2.3163</v>
          </cell>
          <cell r="GJ161">
            <v>2.6615900000000003</v>
          </cell>
          <cell r="GK161">
            <v>2.1718799999999998</v>
          </cell>
          <cell r="GL161">
            <v>0.205376</v>
          </cell>
          <cell r="GM161">
            <v>0.66815900000000006</v>
          </cell>
          <cell r="GN161">
            <v>1.5620099999999999</v>
          </cell>
          <cell r="GO161">
            <v>5.39886</v>
          </cell>
          <cell r="GP161">
            <v>18.1868792</v>
          </cell>
          <cell r="GQ161">
            <v>15.376526200000001</v>
          </cell>
          <cell r="GR161">
            <v>0</v>
          </cell>
          <cell r="GS161">
            <v>0</v>
          </cell>
          <cell r="GT161">
            <v>0.54418299999999997</v>
          </cell>
          <cell r="GU161">
            <v>0.53579399999999999</v>
          </cell>
          <cell r="GV161">
            <v>15.9261453</v>
          </cell>
          <cell r="GW161">
            <v>22.9100784</v>
          </cell>
          <cell r="GX161">
            <v>0</v>
          </cell>
          <cell r="GY161" t="str">
            <v>nd</v>
          </cell>
          <cell r="GZ161">
            <v>0</v>
          </cell>
          <cell r="HA161">
            <v>0.30513099999999999</v>
          </cell>
          <cell r="HB161">
            <v>3.8532600000000001</v>
          </cell>
          <cell r="HC161">
            <v>5.0952900000000003</v>
          </cell>
          <cell r="HD161">
            <v>0</v>
          </cell>
          <cell r="HE161" t="str">
            <v>nd</v>
          </cell>
          <cell r="HF161">
            <v>0</v>
          </cell>
          <cell r="HG161">
            <v>0</v>
          </cell>
          <cell r="HH161">
            <v>0</v>
          </cell>
          <cell r="HI161">
            <v>0</v>
          </cell>
          <cell r="HJ161">
            <v>0</v>
          </cell>
          <cell r="HK161">
            <v>0</v>
          </cell>
          <cell r="HL161">
            <v>0.73841299999999999</v>
          </cell>
          <cell r="HM161">
            <v>6.9429458999999998</v>
          </cell>
          <cell r="HN161">
            <v>1.3719300000000001</v>
          </cell>
          <cell r="HO161">
            <v>0</v>
          </cell>
          <cell r="HP161">
            <v>0</v>
          </cell>
          <cell r="HQ161">
            <v>0.32139000000000001</v>
          </cell>
          <cell r="HR161">
            <v>2.0086499999999998</v>
          </cell>
          <cell r="HS161">
            <v>36.509789999999995</v>
          </cell>
          <cell r="HT161">
            <v>2.3495400000000002</v>
          </cell>
          <cell r="HU161">
            <v>0</v>
          </cell>
          <cell r="HV161">
            <v>0</v>
          </cell>
          <cell r="HW161">
            <v>0</v>
          </cell>
          <cell r="HX161">
            <v>3.1665100000000002</v>
          </cell>
          <cell r="HY161">
            <v>31.664831399999997</v>
          </cell>
          <cell r="HZ161">
            <v>5.31372</v>
          </cell>
          <cell r="IA161">
            <v>0</v>
          </cell>
          <cell r="IB161">
            <v>0</v>
          </cell>
          <cell r="IC161">
            <v>0</v>
          </cell>
          <cell r="ID161">
            <v>0.93746000000000007</v>
          </cell>
          <cell r="IE161">
            <v>7.7730482000000007</v>
          </cell>
          <cell r="IF161">
            <v>0.76290199999999997</v>
          </cell>
          <cell r="IG161">
            <v>0</v>
          </cell>
          <cell r="IH161" t="str">
            <v>nd</v>
          </cell>
          <cell r="II161">
            <v>0</v>
          </cell>
          <cell r="IJ161">
            <v>0</v>
          </cell>
          <cell r="IK161">
            <v>0</v>
          </cell>
          <cell r="IL161">
            <v>0</v>
          </cell>
          <cell r="IM161" t="str">
            <v>nd</v>
          </cell>
          <cell r="IN161" t="str">
            <v>nd</v>
          </cell>
          <cell r="IO161">
            <v>0.86181999999999992</v>
          </cell>
          <cell r="IP161">
            <v>5.5241600000000002</v>
          </cell>
          <cell r="IQ161">
            <v>2.4194599999999999</v>
          </cell>
          <cell r="IR161">
            <v>0</v>
          </cell>
          <cell r="IS161">
            <v>0</v>
          </cell>
          <cell r="IT161">
            <v>0.36932999999999999</v>
          </cell>
          <cell r="IU161">
            <v>4.8195000000000006</v>
          </cell>
          <cell r="IV161">
            <v>27.0045009</v>
          </cell>
          <cell r="IW161">
            <v>9.2980002000000006</v>
          </cell>
          <cell r="IX161">
            <v>0</v>
          </cell>
          <cell r="IY161" t="str">
            <v>nd</v>
          </cell>
          <cell r="IZ161" t="str">
            <v>nd</v>
          </cell>
          <cell r="JA161">
            <v>3.5818000000000003</v>
          </cell>
          <cell r="JB161">
            <v>26.961433800000002</v>
          </cell>
          <cell r="JC161">
            <v>9.0514364</v>
          </cell>
          <cell r="JD161" t="str">
            <v>nd</v>
          </cell>
          <cell r="JE161">
            <v>0</v>
          </cell>
          <cell r="JF161">
            <v>0</v>
          </cell>
          <cell r="JG161">
            <v>0.50336599999999998</v>
          </cell>
          <cell r="JH161">
            <v>6.5928287000000001</v>
          </cell>
          <cell r="JI161">
            <v>2.2389600000000001</v>
          </cell>
          <cell r="JJ161">
            <v>0</v>
          </cell>
          <cell r="JK161">
            <v>0</v>
          </cell>
          <cell r="JL161">
            <v>0</v>
          </cell>
          <cell r="JM161">
            <v>0</v>
          </cell>
          <cell r="JN161" t="str">
            <v>nd</v>
          </cell>
          <cell r="JO161">
            <v>0</v>
          </cell>
          <cell r="JP161">
            <v>0</v>
          </cell>
          <cell r="JQ161">
            <v>0</v>
          </cell>
          <cell r="JR161">
            <v>0</v>
          </cell>
          <cell r="JS161" t="str">
            <v>nd</v>
          </cell>
          <cell r="JT161">
            <v>9.0143255</v>
          </cell>
          <cell r="JU161">
            <v>0</v>
          </cell>
          <cell r="JV161">
            <v>0</v>
          </cell>
          <cell r="JW161">
            <v>0</v>
          </cell>
          <cell r="JX161" t="str">
            <v>nd</v>
          </cell>
          <cell r="JY161">
            <v>0.31324199999999996</v>
          </cell>
          <cell r="JZ161">
            <v>41.435617700000002</v>
          </cell>
          <cell r="KA161">
            <v>0</v>
          </cell>
          <cell r="KB161">
            <v>0</v>
          </cell>
          <cell r="KC161">
            <v>0</v>
          </cell>
          <cell r="KD161">
            <v>0</v>
          </cell>
          <cell r="KE161" t="str">
            <v>nd</v>
          </cell>
          <cell r="KF161">
            <v>39.705397999999995</v>
          </cell>
          <cell r="KG161">
            <v>0</v>
          </cell>
          <cell r="KH161">
            <v>0</v>
          </cell>
          <cell r="KI161">
            <v>0</v>
          </cell>
          <cell r="KJ161">
            <v>0</v>
          </cell>
          <cell r="KK161" t="str">
            <v>nd</v>
          </cell>
          <cell r="KL161">
            <v>9.1057306000000011</v>
          </cell>
          <cell r="KM161">
            <v>71.5</v>
          </cell>
          <cell r="KN161">
            <v>9.6</v>
          </cell>
          <cell r="KO161">
            <v>6.4</v>
          </cell>
          <cell r="KP161">
            <v>6.5</v>
          </cell>
          <cell r="KQ161">
            <v>5.8999999999999995</v>
          </cell>
          <cell r="KR161">
            <v>0</v>
          </cell>
          <cell r="KS161">
            <v>69.699999999999989</v>
          </cell>
          <cell r="KT161">
            <v>10.299999999999999</v>
          </cell>
          <cell r="KU161">
            <v>6.8000000000000007</v>
          </cell>
          <cell r="KV161">
            <v>6.8000000000000007</v>
          </cell>
          <cell r="KW161">
            <v>6.4</v>
          </cell>
          <cell r="KX161">
            <v>0</v>
          </cell>
          <cell r="KY161"/>
          <cell r="KZ161"/>
          <cell r="LA161"/>
          <cell r="LB161"/>
          <cell r="LC161"/>
          <cell r="LD161"/>
          <cell r="LE161"/>
          <cell r="LF161"/>
          <cell r="LG161"/>
          <cell r="LH161"/>
          <cell r="LI161"/>
          <cell r="LJ161"/>
          <cell r="LK161"/>
          <cell r="LL161"/>
          <cell r="LM161"/>
          <cell r="LN161"/>
          <cell r="LO161"/>
        </row>
        <row r="162">
          <cell r="A162" t="str">
            <v>CET2</v>
          </cell>
          <cell r="B162" t="str">
            <v>162</v>
          </cell>
          <cell r="C162" t="str">
            <v>NAF 4</v>
          </cell>
          <cell r="D162" t="str">
            <v>ET2</v>
          </cell>
          <cell r="E162" t="str">
            <v>C</v>
          </cell>
          <cell r="F162">
            <v>0</v>
          </cell>
          <cell r="G162">
            <v>12.1</v>
          </cell>
          <cell r="H162">
            <v>47.3</v>
          </cell>
          <cell r="I162">
            <v>35.299999999999997</v>
          </cell>
          <cell r="J162">
            <v>5.2</v>
          </cell>
          <cell r="K162">
            <v>77.2</v>
          </cell>
          <cell r="L162">
            <v>5.3</v>
          </cell>
          <cell r="M162">
            <v>7.1</v>
          </cell>
          <cell r="N162">
            <v>10.4</v>
          </cell>
          <cell r="O162">
            <v>30.5</v>
          </cell>
          <cell r="P162">
            <v>33.6</v>
          </cell>
          <cell r="Q162">
            <v>22.1</v>
          </cell>
          <cell r="R162">
            <v>9.8000000000000007</v>
          </cell>
          <cell r="S162">
            <v>12.6</v>
          </cell>
          <cell r="T162">
            <v>44.6</v>
          </cell>
          <cell r="U162">
            <v>3.2</v>
          </cell>
          <cell r="V162">
            <v>13.200000000000001</v>
          </cell>
          <cell r="W162">
            <v>11.3</v>
          </cell>
          <cell r="X162">
            <v>84.8</v>
          </cell>
          <cell r="Y162">
            <v>3.9</v>
          </cell>
          <cell r="Z162">
            <v>3.6999999999999997</v>
          </cell>
          <cell r="AA162">
            <v>68.2</v>
          </cell>
          <cell r="AB162">
            <v>12.1</v>
          </cell>
          <cell r="AC162">
            <v>64.5</v>
          </cell>
          <cell r="AD162">
            <v>10.299999999999999</v>
          </cell>
          <cell r="AE162">
            <v>64.900000000000006</v>
          </cell>
          <cell r="AF162">
            <v>35.099999999999994</v>
          </cell>
          <cell r="AG162">
            <v>84.5</v>
          </cell>
          <cell r="AH162">
            <v>15.5</v>
          </cell>
          <cell r="AI162">
            <v>44.800000000000004</v>
          </cell>
          <cell r="AJ162">
            <v>2.2999999999999998</v>
          </cell>
          <cell r="AK162">
            <v>8.2000000000000011</v>
          </cell>
          <cell r="AL162">
            <v>37.5</v>
          </cell>
          <cell r="AM162">
            <v>7.3</v>
          </cell>
          <cell r="AN162">
            <v>11.899999999999999</v>
          </cell>
          <cell r="AO162">
            <v>4.3</v>
          </cell>
          <cell r="AP162">
            <v>7.1</v>
          </cell>
          <cell r="AQ162">
            <v>53.5</v>
          </cell>
          <cell r="AR162">
            <v>23.200000000000003</v>
          </cell>
          <cell r="AS162">
            <v>41.699999999999996</v>
          </cell>
          <cell r="AT162">
            <v>33.900000000000006</v>
          </cell>
          <cell r="AU162">
            <v>16</v>
          </cell>
          <cell r="AV162">
            <v>4.3</v>
          </cell>
          <cell r="AW162">
            <v>2.8000000000000003</v>
          </cell>
          <cell r="AX162">
            <v>1.3</v>
          </cell>
          <cell r="AY162">
            <v>3.3000000000000003</v>
          </cell>
          <cell r="AZ162">
            <v>8</v>
          </cell>
          <cell r="BA162">
            <v>19.2</v>
          </cell>
          <cell r="BB162">
            <v>27.200000000000003</v>
          </cell>
          <cell r="BC162">
            <v>36.1</v>
          </cell>
          <cell r="BD162">
            <v>6.2</v>
          </cell>
          <cell r="BE162">
            <v>0.3</v>
          </cell>
          <cell r="BF162">
            <v>1.5</v>
          </cell>
          <cell r="BG162">
            <v>1.6</v>
          </cell>
          <cell r="BH162">
            <v>6.6000000000000005</v>
          </cell>
          <cell r="BI162">
            <v>48.8</v>
          </cell>
          <cell r="BJ162">
            <v>41.3</v>
          </cell>
          <cell r="BK162" t="str">
            <v>nd</v>
          </cell>
          <cell r="BL162">
            <v>0</v>
          </cell>
          <cell r="BM162">
            <v>0.5</v>
          </cell>
          <cell r="BN162">
            <v>6.8000000000000007</v>
          </cell>
          <cell r="BO162">
            <v>90.4</v>
          </cell>
          <cell r="BP162">
            <v>2.4</v>
          </cell>
          <cell r="BQ162" t="str">
            <v>nd</v>
          </cell>
          <cell r="BR162" t="str">
            <v>nd</v>
          </cell>
          <cell r="BS162">
            <v>0.4</v>
          </cell>
          <cell r="BT162">
            <v>11.5</v>
          </cell>
          <cell r="BU162">
            <v>81.599999999999994</v>
          </cell>
          <cell r="BV162">
            <v>6.4</v>
          </cell>
          <cell r="BW162">
            <v>0</v>
          </cell>
          <cell r="BX162">
            <v>0</v>
          </cell>
          <cell r="BY162">
            <v>0</v>
          </cell>
          <cell r="BZ162">
            <v>0.1</v>
          </cell>
          <cell r="CA162">
            <v>1.9</v>
          </cell>
          <cell r="CB162">
            <v>98</v>
          </cell>
          <cell r="CC162">
            <v>24</v>
          </cell>
          <cell r="CD162">
            <v>16.8</v>
          </cell>
          <cell r="CE162">
            <v>0.5</v>
          </cell>
          <cell r="CF162">
            <v>0.5</v>
          </cell>
          <cell r="CG162">
            <v>0.8</v>
          </cell>
          <cell r="CH162">
            <v>22.6</v>
          </cell>
          <cell r="CI162">
            <v>8.4</v>
          </cell>
          <cell r="CJ162">
            <v>50.4</v>
          </cell>
          <cell r="CK162">
            <v>47.9</v>
          </cell>
          <cell r="CL162">
            <v>15</v>
          </cell>
          <cell r="CM162">
            <v>2</v>
          </cell>
          <cell r="CN162">
            <v>1</v>
          </cell>
          <cell r="CO162">
            <v>45.800000000000004</v>
          </cell>
          <cell r="CP162">
            <v>12.5</v>
          </cell>
          <cell r="CQ162">
            <v>37.5</v>
          </cell>
          <cell r="CR162">
            <v>13.100000000000001</v>
          </cell>
          <cell r="CS162">
            <v>36.799999999999997</v>
          </cell>
          <cell r="CT162">
            <v>13.700000000000001</v>
          </cell>
          <cell r="CU162">
            <v>86.3</v>
          </cell>
          <cell r="CV162">
            <v>14.6</v>
          </cell>
          <cell r="CW162">
            <v>85.399999999999991</v>
          </cell>
          <cell r="CX162">
            <v>18.399999999999999</v>
          </cell>
          <cell r="CY162">
            <v>32.800000000000004</v>
          </cell>
          <cell r="CZ162">
            <v>48.699999999999996</v>
          </cell>
          <cell r="DA162">
            <v>34.799999999999997</v>
          </cell>
          <cell r="DB162">
            <v>7.3</v>
          </cell>
          <cell r="DC162">
            <v>18.899999999999999</v>
          </cell>
          <cell r="DD162">
            <v>1.2</v>
          </cell>
          <cell r="DE162">
            <v>62.2</v>
          </cell>
          <cell r="DF162">
            <v>15.299999999999999</v>
          </cell>
          <cell r="DG162">
            <v>4.7</v>
          </cell>
          <cell r="DH162">
            <v>19.100000000000001</v>
          </cell>
          <cell r="DI162">
            <v>17.5</v>
          </cell>
          <cell r="DJ162">
            <v>27.1</v>
          </cell>
          <cell r="DK162">
            <v>16.400000000000002</v>
          </cell>
          <cell r="DL162">
            <v>14.799999999999999</v>
          </cell>
          <cell r="DM162">
            <v>46.6</v>
          </cell>
          <cell r="DN162">
            <v>4.9000000000000004</v>
          </cell>
          <cell r="DO162">
            <v>35.4</v>
          </cell>
          <cell r="DP162">
            <v>6.6000000000000005</v>
          </cell>
          <cell r="DQ162">
            <v>10.299999999999999</v>
          </cell>
          <cell r="DR162">
            <v>16</v>
          </cell>
          <cell r="DS162">
            <v>21.6</v>
          </cell>
          <cell r="DT162">
            <v>11.5</v>
          </cell>
          <cell r="DU162">
            <v>0</v>
          </cell>
          <cell r="DV162">
            <v>0</v>
          </cell>
          <cell r="DW162">
            <v>0</v>
          </cell>
          <cell r="DX162">
            <v>0</v>
          </cell>
          <cell r="DY162">
            <v>0</v>
          </cell>
          <cell r="DZ162">
            <v>1.8201800000000001</v>
          </cell>
          <cell r="EA162">
            <v>3.2764799999999998</v>
          </cell>
          <cell r="EB162">
            <v>5.2563899999999997</v>
          </cell>
          <cell r="EC162">
            <v>0.62645099999999998</v>
          </cell>
          <cell r="ED162">
            <v>0.73675400000000002</v>
          </cell>
          <cell r="EE162">
            <v>0.311108</v>
          </cell>
          <cell r="EF162">
            <v>15.589300400000001</v>
          </cell>
          <cell r="EG162">
            <v>21.0420938</v>
          </cell>
          <cell r="EH162">
            <v>6.8092720999999994</v>
          </cell>
          <cell r="EI162">
            <v>2.11707</v>
          </cell>
          <cell r="EJ162">
            <v>1.6153899999999999</v>
          </cell>
          <cell r="EK162">
            <v>0.28309499999999999</v>
          </cell>
          <cell r="EL162">
            <v>21.0002101</v>
          </cell>
          <cell r="EM162">
            <v>8.1472078999999997</v>
          </cell>
          <cell r="EN162">
            <v>3.7157900000000001</v>
          </cell>
          <cell r="EO162">
            <v>1.5321</v>
          </cell>
          <cell r="EP162">
            <v>0.39018600000000003</v>
          </cell>
          <cell r="EQ162">
            <v>0.50824399999999992</v>
          </cell>
          <cell r="ER162">
            <v>3.3048500000000001</v>
          </cell>
          <cell r="ES162">
            <v>1.34996</v>
          </cell>
          <cell r="ET162">
            <v>0.30496499999999999</v>
          </cell>
          <cell r="EU162" t="str">
            <v>nd</v>
          </cell>
          <cell r="EV162" t="str">
            <v>nd</v>
          </cell>
          <cell r="EW162" t="str">
            <v>nd</v>
          </cell>
          <cell r="EX162">
            <v>0</v>
          </cell>
          <cell r="EY162">
            <v>0</v>
          </cell>
          <cell r="EZ162">
            <v>0</v>
          </cell>
          <cell r="FA162">
            <v>0</v>
          </cell>
          <cell r="FB162">
            <v>0</v>
          </cell>
          <cell r="FC162">
            <v>0.65161400000000003</v>
          </cell>
          <cell r="FD162">
            <v>0.175682</v>
          </cell>
          <cell r="FE162">
            <v>3.98455</v>
          </cell>
          <cell r="FF162">
            <v>3.06806</v>
          </cell>
          <cell r="FG162">
            <v>3.6662300000000001</v>
          </cell>
          <cell r="FH162">
            <v>0.52954200000000007</v>
          </cell>
          <cell r="FI162">
            <v>1.8523499999999999</v>
          </cell>
          <cell r="FJ162">
            <v>5.08195</v>
          </cell>
          <cell r="FK162">
            <v>9.5259908000000006</v>
          </cell>
          <cell r="FL162">
            <v>14.2238524</v>
          </cell>
          <cell r="FM162">
            <v>14.4890246</v>
          </cell>
          <cell r="FN162">
            <v>2.1224799999999999</v>
          </cell>
          <cell r="FO162">
            <v>0.76585499999999995</v>
          </cell>
          <cell r="FP162">
            <v>2.4709400000000001</v>
          </cell>
          <cell r="FQ162">
            <v>4.7113299999999994</v>
          </cell>
          <cell r="FR162">
            <v>8.8505265000000009</v>
          </cell>
          <cell r="FS162">
            <v>15.5965445</v>
          </cell>
          <cell r="FT162">
            <v>3.0089399999999999</v>
          </cell>
          <cell r="FU162" t="str">
            <v>nd</v>
          </cell>
          <cell r="FV162">
            <v>0.164766</v>
          </cell>
          <cell r="FW162">
            <v>0.96948000000000001</v>
          </cell>
          <cell r="FX162">
            <v>1.0217800000000001</v>
          </cell>
          <cell r="FY162">
            <v>2.4260099999999998</v>
          </cell>
          <cell r="FZ162">
            <v>0.56090600000000002</v>
          </cell>
          <cell r="GA162">
            <v>0</v>
          </cell>
          <cell r="GB162">
            <v>0</v>
          </cell>
          <cell r="GC162">
            <v>0</v>
          </cell>
          <cell r="GD162">
            <v>0</v>
          </cell>
          <cell r="GE162">
            <v>0</v>
          </cell>
          <cell r="GF162" t="str">
            <v>nd</v>
          </cell>
          <cell r="GG162">
            <v>0.70075100000000001</v>
          </cell>
          <cell r="GH162">
            <v>0.64495899999999995</v>
          </cell>
          <cell r="GI162">
            <v>1.5163</v>
          </cell>
          <cell r="GJ162">
            <v>6.6876398000000004</v>
          </cell>
          <cell r="GK162">
            <v>2.6721200000000001</v>
          </cell>
          <cell r="GL162" t="str">
            <v>nd</v>
          </cell>
          <cell r="GM162">
            <v>0.66142199999999995</v>
          </cell>
          <cell r="GN162">
            <v>0.73147799999999996</v>
          </cell>
          <cell r="GO162">
            <v>4.1091199999999999</v>
          </cell>
          <cell r="GP162">
            <v>23.6479158</v>
          </cell>
          <cell r="GQ162">
            <v>17.8299649</v>
          </cell>
          <cell r="GR162" t="str">
            <v>nd</v>
          </cell>
          <cell r="GS162" t="str">
            <v>nd</v>
          </cell>
          <cell r="GT162">
            <v>0.24751899999999999</v>
          </cell>
          <cell r="GU162">
            <v>0.5929850000000001</v>
          </cell>
          <cell r="GV162">
            <v>15.8502496</v>
          </cell>
          <cell r="GW162">
            <v>18.762740600000001</v>
          </cell>
          <cell r="GX162">
            <v>0</v>
          </cell>
          <cell r="GY162" t="str">
            <v>nd</v>
          </cell>
          <cell r="GZ162">
            <v>0</v>
          </cell>
          <cell r="HA162">
            <v>0.34677800000000003</v>
          </cell>
          <cell r="HB162">
            <v>2.5170000000000003</v>
          </cell>
          <cell r="HC162">
            <v>2.0696099999999999</v>
          </cell>
          <cell r="HD162">
            <v>0</v>
          </cell>
          <cell r="HE162">
            <v>0</v>
          </cell>
          <cell r="HF162">
            <v>0</v>
          </cell>
          <cell r="HG162">
            <v>0</v>
          </cell>
          <cell r="HH162">
            <v>0</v>
          </cell>
          <cell r="HI162">
            <v>0</v>
          </cell>
          <cell r="HJ162">
            <v>0</v>
          </cell>
          <cell r="HK162">
            <v>0</v>
          </cell>
          <cell r="HL162">
            <v>1.2085399999999999</v>
          </cell>
          <cell r="HM162">
            <v>11.370268100000001</v>
          </cell>
          <cell r="HN162">
            <v>0.14766899999999999</v>
          </cell>
          <cell r="HO162">
            <v>0</v>
          </cell>
          <cell r="HP162">
            <v>0</v>
          </cell>
          <cell r="HQ162">
            <v>0</v>
          </cell>
          <cell r="HR162">
            <v>2.34545</v>
          </cell>
          <cell r="HS162">
            <v>43.584026599999994</v>
          </cell>
          <cell r="HT162">
            <v>0.82559999999999989</v>
          </cell>
          <cell r="HU162" t="str">
            <v>nd</v>
          </cell>
          <cell r="HV162">
            <v>0</v>
          </cell>
          <cell r="HW162">
            <v>0.24495900000000001</v>
          </cell>
          <cell r="HX162">
            <v>2.4308199999999998</v>
          </cell>
          <cell r="HY162">
            <v>31.263632200000004</v>
          </cell>
          <cell r="HZ162">
            <v>1.30592</v>
          </cell>
          <cell r="IA162">
            <v>0</v>
          </cell>
          <cell r="IB162">
            <v>0</v>
          </cell>
          <cell r="IC162" t="str">
            <v>nd</v>
          </cell>
          <cell r="ID162">
            <v>0.81762000000000001</v>
          </cell>
          <cell r="IE162">
            <v>4.1332199999999997</v>
          </cell>
          <cell r="IF162" t="str">
            <v>nd</v>
          </cell>
          <cell r="IG162">
            <v>0</v>
          </cell>
          <cell r="IH162">
            <v>0</v>
          </cell>
          <cell r="II162">
            <v>0</v>
          </cell>
          <cell r="IJ162">
            <v>0</v>
          </cell>
          <cell r="IK162">
            <v>0</v>
          </cell>
          <cell r="IL162">
            <v>0</v>
          </cell>
          <cell r="IM162">
            <v>0</v>
          </cell>
          <cell r="IN162" t="str">
            <v>nd</v>
          </cell>
          <cell r="IO162">
            <v>2.0756700000000001</v>
          </cell>
          <cell r="IP162">
            <v>8.5617828000000014</v>
          </cell>
          <cell r="IQ162">
            <v>0.65545300000000006</v>
          </cell>
          <cell r="IR162">
            <v>0</v>
          </cell>
          <cell r="IS162">
            <v>0</v>
          </cell>
          <cell r="IT162" t="str">
            <v>nd</v>
          </cell>
          <cell r="IU162">
            <v>5.3033900000000003</v>
          </cell>
          <cell r="IV162">
            <v>40.295412800000001</v>
          </cell>
          <cell r="IW162">
            <v>1.7464</v>
          </cell>
          <cell r="IX162" t="str">
            <v>nd</v>
          </cell>
          <cell r="IY162" t="str">
            <v>nd</v>
          </cell>
          <cell r="IZ162">
            <v>0.171962</v>
          </cell>
          <cell r="JA162">
            <v>3.2470899999999996</v>
          </cell>
          <cell r="JB162">
            <v>29.410275500000001</v>
          </cell>
          <cell r="JC162">
            <v>2.9981899999999997</v>
          </cell>
          <cell r="JD162">
            <v>0</v>
          </cell>
          <cell r="JE162">
            <v>0</v>
          </cell>
          <cell r="JF162">
            <v>0</v>
          </cell>
          <cell r="JG162">
            <v>0.87813000000000008</v>
          </cell>
          <cell r="JH162">
            <v>3.3433900000000003</v>
          </cell>
          <cell r="JI162">
            <v>1.0415099999999999</v>
          </cell>
          <cell r="JJ162">
            <v>0</v>
          </cell>
          <cell r="JK162">
            <v>0</v>
          </cell>
          <cell r="JL162">
            <v>0</v>
          </cell>
          <cell r="JM162">
            <v>0</v>
          </cell>
          <cell r="JN162">
            <v>0</v>
          </cell>
          <cell r="JO162">
            <v>0</v>
          </cell>
          <cell r="JP162">
            <v>0</v>
          </cell>
          <cell r="JQ162">
            <v>0</v>
          </cell>
          <cell r="JR162" t="str">
            <v>nd</v>
          </cell>
          <cell r="JS162">
            <v>0.76848499999999997</v>
          </cell>
          <cell r="JT162">
            <v>11.337301499999999</v>
          </cell>
          <cell r="JU162">
            <v>0</v>
          </cell>
          <cell r="JV162">
            <v>0</v>
          </cell>
          <cell r="JW162">
            <v>0</v>
          </cell>
          <cell r="JX162" t="str">
            <v>nd</v>
          </cell>
          <cell r="JY162">
            <v>0.59457700000000002</v>
          </cell>
          <cell r="JZ162">
            <v>46.493897599999997</v>
          </cell>
          <cell r="KA162">
            <v>0</v>
          </cell>
          <cell r="KB162">
            <v>0</v>
          </cell>
          <cell r="KC162">
            <v>0</v>
          </cell>
          <cell r="KD162" t="str">
            <v>nd</v>
          </cell>
          <cell r="KE162">
            <v>0.55674599999999996</v>
          </cell>
          <cell r="KF162">
            <v>34.993288</v>
          </cell>
          <cell r="KG162">
            <v>0</v>
          </cell>
          <cell r="KH162">
            <v>0</v>
          </cell>
          <cell r="KI162">
            <v>0</v>
          </cell>
          <cell r="KJ162">
            <v>0</v>
          </cell>
          <cell r="KK162">
            <v>0</v>
          </cell>
          <cell r="KL162">
            <v>5.1441099999999995</v>
          </cell>
          <cell r="KM162">
            <v>62</v>
          </cell>
          <cell r="KN162">
            <v>21.3</v>
          </cell>
          <cell r="KO162">
            <v>5.0999999999999996</v>
          </cell>
          <cell r="KP162">
            <v>5.5</v>
          </cell>
          <cell r="KQ162">
            <v>6.1</v>
          </cell>
          <cell r="KR162">
            <v>0.1</v>
          </cell>
          <cell r="KS162">
            <v>59.699999999999996</v>
          </cell>
          <cell r="KT162">
            <v>22.2</v>
          </cell>
          <cell r="KU162">
            <v>5.4</v>
          </cell>
          <cell r="KV162">
            <v>5.8000000000000007</v>
          </cell>
          <cell r="KW162">
            <v>6.8000000000000007</v>
          </cell>
          <cell r="KX162">
            <v>0.1</v>
          </cell>
          <cell r="KY162"/>
          <cell r="KZ162"/>
          <cell r="LA162"/>
          <cell r="LB162"/>
          <cell r="LC162"/>
          <cell r="LD162"/>
          <cell r="LE162"/>
          <cell r="LF162"/>
          <cell r="LG162"/>
          <cell r="LH162"/>
          <cell r="LI162"/>
          <cell r="LJ162"/>
          <cell r="LK162"/>
          <cell r="LL162"/>
          <cell r="LM162"/>
          <cell r="LN162"/>
          <cell r="LO162"/>
        </row>
        <row r="163">
          <cell r="A163" t="str">
            <v>EnsEU2</v>
          </cell>
          <cell r="B163" t="str">
            <v>163</v>
          </cell>
          <cell r="C163" t="str">
            <v>NAF 4</v>
          </cell>
          <cell r="D163" t="str">
            <v>EU2</v>
          </cell>
          <cell r="E163" t="str">
            <v/>
          </cell>
          <cell r="F163">
            <v>0.4</v>
          </cell>
          <cell r="G163">
            <v>6</v>
          </cell>
          <cell r="H163">
            <v>27.700000000000003</v>
          </cell>
          <cell r="I163">
            <v>49.9</v>
          </cell>
          <cell r="J163">
            <v>16</v>
          </cell>
          <cell r="K163">
            <v>54.900000000000006</v>
          </cell>
          <cell r="L163">
            <v>16.3</v>
          </cell>
          <cell r="M163">
            <v>19.3</v>
          </cell>
          <cell r="N163">
            <v>9.5</v>
          </cell>
          <cell r="O163">
            <v>25.8</v>
          </cell>
          <cell r="P163">
            <v>27.1</v>
          </cell>
          <cell r="Q163">
            <v>23.200000000000003</v>
          </cell>
          <cell r="R163">
            <v>8.2000000000000011</v>
          </cell>
          <cell r="S163">
            <v>14.899999999999999</v>
          </cell>
          <cell r="T163">
            <v>24</v>
          </cell>
          <cell r="U163">
            <v>5.7</v>
          </cell>
          <cell r="V163">
            <v>22</v>
          </cell>
          <cell r="W163">
            <v>9.8000000000000007</v>
          </cell>
          <cell r="X163">
            <v>84.399999999999991</v>
          </cell>
          <cell r="Y163">
            <v>5.8000000000000007</v>
          </cell>
          <cell r="Z163">
            <v>9.5</v>
          </cell>
          <cell r="AA163">
            <v>49.5</v>
          </cell>
          <cell r="AB163">
            <v>5.3</v>
          </cell>
          <cell r="AC163">
            <v>49.5</v>
          </cell>
          <cell r="AD163">
            <v>35.799999999999997</v>
          </cell>
          <cell r="AE163">
            <v>52</v>
          </cell>
          <cell r="AF163">
            <v>48</v>
          </cell>
          <cell r="AG163">
            <v>76.2</v>
          </cell>
          <cell r="AH163">
            <v>23.799999999999997</v>
          </cell>
          <cell r="AI163">
            <v>27.3</v>
          </cell>
          <cell r="AJ163">
            <v>6</v>
          </cell>
          <cell r="AK163">
            <v>6</v>
          </cell>
          <cell r="AL163">
            <v>48.199999999999996</v>
          </cell>
          <cell r="AM163">
            <v>12.6</v>
          </cell>
          <cell r="AN163">
            <v>1.7000000000000002</v>
          </cell>
          <cell r="AO163">
            <v>2.5</v>
          </cell>
          <cell r="AP163">
            <v>2.9000000000000004</v>
          </cell>
          <cell r="AQ163">
            <v>77.5</v>
          </cell>
          <cell r="AR163">
            <v>15.299999999999999</v>
          </cell>
          <cell r="AS163">
            <v>84.8</v>
          </cell>
          <cell r="AT163">
            <v>9.1</v>
          </cell>
          <cell r="AU163">
            <v>2.6</v>
          </cell>
          <cell r="AV163">
            <v>0.89999999999999991</v>
          </cell>
          <cell r="AW163">
            <v>1.0999999999999999</v>
          </cell>
          <cell r="AX163">
            <v>1.5</v>
          </cell>
          <cell r="AY163">
            <v>0.89999999999999991</v>
          </cell>
          <cell r="AZ163">
            <v>0.6</v>
          </cell>
          <cell r="BA163">
            <v>1.4000000000000001</v>
          </cell>
          <cell r="BB163">
            <v>8.5</v>
          </cell>
          <cell r="BC163">
            <v>33.200000000000003</v>
          </cell>
          <cell r="BD163">
            <v>55.400000000000006</v>
          </cell>
          <cell r="BE163">
            <v>0.6</v>
          </cell>
          <cell r="BF163" t="str">
            <v>nd</v>
          </cell>
          <cell r="BG163">
            <v>0.70000000000000007</v>
          </cell>
          <cell r="BH163">
            <v>3.5000000000000004</v>
          </cell>
          <cell r="BI163">
            <v>33.4</v>
          </cell>
          <cell r="BJ163">
            <v>61.8</v>
          </cell>
          <cell r="BK163" t="str">
            <v>nd</v>
          </cell>
          <cell r="BL163">
            <v>0</v>
          </cell>
          <cell r="BM163" t="str">
            <v>nd</v>
          </cell>
          <cell r="BN163">
            <v>3</v>
          </cell>
          <cell r="BO163">
            <v>66.7</v>
          </cell>
          <cell r="BP163">
            <v>29.9</v>
          </cell>
          <cell r="BQ163">
            <v>0</v>
          </cell>
          <cell r="BR163" t="str">
            <v>nd</v>
          </cell>
          <cell r="BS163" t="str">
            <v>nd</v>
          </cell>
          <cell r="BT163">
            <v>1.9</v>
          </cell>
          <cell r="BU163">
            <v>44.1</v>
          </cell>
          <cell r="BV163">
            <v>53.400000000000006</v>
          </cell>
          <cell r="BW163">
            <v>0</v>
          </cell>
          <cell r="BX163">
            <v>0</v>
          </cell>
          <cell r="BY163">
            <v>0</v>
          </cell>
          <cell r="BZ163" t="str">
            <v>nd</v>
          </cell>
          <cell r="CA163">
            <v>0.8</v>
          </cell>
          <cell r="CB163">
            <v>99</v>
          </cell>
          <cell r="CC163">
            <v>6.1</v>
          </cell>
          <cell r="CD163">
            <v>11.700000000000001</v>
          </cell>
          <cell r="CE163">
            <v>3.9</v>
          </cell>
          <cell r="CF163">
            <v>5.3</v>
          </cell>
          <cell r="CG163">
            <v>0.5</v>
          </cell>
          <cell r="CH163">
            <v>19.900000000000002</v>
          </cell>
          <cell r="CI163">
            <v>8.2000000000000011</v>
          </cell>
          <cell r="CJ163">
            <v>70.099999999999994</v>
          </cell>
          <cell r="CK163">
            <v>42.4</v>
          </cell>
          <cell r="CL163">
            <v>6.4</v>
          </cell>
          <cell r="CM163">
            <v>2.6</v>
          </cell>
          <cell r="CN163">
            <v>0.70000000000000007</v>
          </cell>
          <cell r="CO163">
            <v>56.399999999999991</v>
          </cell>
          <cell r="CP163">
            <v>7.1</v>
          </cell>
          <cell r="CQ163">
            <v>37.299999999999997</v>
          </cell>
          <cell r="CR163">
            <v>28.999999999999996</v>
          </cell>
          <cell r="CS163">
            <v>26.5</v>
          </cell>
          <cell r="CT163">
            <v>6.5</v>
          </cell>
          <cell r="CU163">
            <v>93.5</v>
          </cell>
          <cell r="CV163">
            <v>6.8000000000000007</v>
          </cell>
          <cell r="CW163">
            <v>93.2</v>
          </cell>
          <cell r="CX163">
            <v>10.100000000000001</v>
          </cell>
          <cell r="CY163">
            <v>26.900000000000002</v>
          </cell>
          <cell r="CZ163">
            <v>63</v>
          </cell>
          <cell r="DA163">
            <v>16.7</v>
          </cell>
          <cell r="DB163">
            <v>0</v>
          </cell>
          <cell r="DC163">
            <v>4.8</v>
          </cell>
          <cell r="DD163" t="str">
            <v>nd</v>
          </cell>
          <cell r="DE163">
            <v>81</v>
          </cell>
          <cell r="DF163">
            <v>19.8</v>
          </cell>
          <cell r="DG163">
            <v>15.4</v>
          </cell>
          <cell r="DH163">
            <v>16.7</v>
          </cell>
          <cell r="DI163">
            <v>11.799999999999999</v>
          </cell>
          <cell r="DJ163">
            <v>16.2</v>
          </cell>
          <cell r="DK163">
            <v>20.200000000000003</v>
          </cell>
          <cell r="DL163">
            <v>21.099999999999998</v>
          </cell>
          <cell r="DM163">
            <v>31.5</v>
          </cell>
          <cell r="DN163">
            <v>7.6</v>
          </cell>
          <cell r="DO163">
            <v>30.099999999999998</v>
          </cell>
          <cell r="DP163">
            <v>4</v>
          </cell>
          <cell r="DQ163">
            <v>0.89999999999999991</v>
          </cell>
          <cell r="DR163">
            <v>17</v>
          </cell>
          <cell r="DS163">
            <v>14.2</v>
          </cell>
          <cell r="DT163">
            <v>19.600000000000001</v>
          </cell>
          <cell r="DU163">
            <v>0</v>
          </cell>
          <cell r="DV163">
            <v>0</v>
          </cell>
          <cell r="DW163">
            <v>0</v>
          </cell>
          <cell r="DX163" t="str">
            <v>nd</v>
          </cell>
          <cell r="DY163" t="str">
            <v>nd</v>
          </cell>
          <cell r="DZ163">
            <v>4.8485500000000004</v>
          </cell>
          <cell r="EA163">
            <v>0.423703</v>
          </cell>
          <cell r="EB163">
            <v>0.502641</v>
          </cell>
          <cell r="EC163" t="str">
            <v>nd</v>
          </cell>
          <cell r="ED163">
            <v>0</v>
          </cell>
          <cell r="EE163">
            <v>0</v>
          </cell>
          <cell r="EF163">
            <v>19.850202599999999</v>
          </cell>
          <cell r="EG163">
            <v>5.4774799999999999</v>
          </cell>
          <cell r="EH163">
            <v>1.61449</v>
          </cell>
          <cell r="EI163">
            <v>0.22697199999999998</v>
          </cell>
          <cell r="EJ163">
            <v>0.28039599999999998</v>
          </cell>
          <cell r="EK163">
            <v>0.35886999999999997</v>
          </cell>
          <cell r="EL163">
            <v>45.213586300000003</v>
          </cell>
          <cell r="EM163">
            <v>2.73814</v>
          </cell>
          <cell r="EN163">
            <v>0.36548000000000003</v>
          </cell>
          <cell r="EO163">
            <v>0</v>
          </cell>
          <cell r="EP163">
            <v>0.73792399999999991</v>
          </cell>
          <cell r="EQ163">
            <v>0.50787499999999997</v>
          </cell>
          <cell r="ER163">
            <v>14.866851799999999</v>
          </cell>
          <cell r="ES163">
            <v>0.53017899999999996</v>
          </cell>
          <cell r="ET163" t="str">
            <v>nd</v>
          </cell>
          <cell r="EU163" t="str">
            <v>nd</v>
          </cell>
          <cell r="EV163" t="str">
            <v>nd</v>
          </cell>
          <cell r="EW163">
            <v>0.37393499999999996</v>
          </cell>
          <cell r="EX163">
            <v>0</v>
          </cell>
          <cell r="EY163">
            <v>0</v>
          </cell>
          <cell r="EZ163">
            <v>0</v>
          </cell>
          <cell r="FA163">
            <v>0</v>
          </cell>
          <cell r="FB163">
            <v>0.41032600000000002</v>
          </cell>
          <cell r="FC163">
            <v>0</v>
          </cell>
          <cell r="FD163" t="str">
            <v>nd</v>
          </cell>
          <cell r="FE163">
            <v>0.21987700000000002</v>
          </cell>
          <cell r="FF163">
            <v>0.61465900000000007</v>
          </cell>
          <cell r="FG163">
            <v>3.9216899999999999</v>
          </cell>
          <cell r="FH163">
            <v>1.1748099999999999</v>
          </cell>
          <cell r="FI163">
            <v>0.36014299999999999</v>
          </cell>
          <cell r="FJ163">
            <v>0.14553199999999999</v>
          </cell>
          <cell r="FK163">
            <v>0.83522000000000007</v>
          </cell>
          <cell r="FL163">
            <v>2.65001</v>
          </cell>
          <cell r="FM163">
            <v>12.373234099999999</v>
          </cell>
          <cell r="FN163">
            <v>11.5369657</v>
          </cell>
          <cell r="FO163">
            <v>0.49219199999999996</v>
          </cell>
          <cell r="FP163">
            <v>0</v>
          </cell>
          <cell r="FQ163">
            <v>0.28981899999999999</v>
          </cell>
          <cell r="FR163">
            <v>2.78199</v>
          </cell>
          <cell r="FS163">
            <v>11.1543998</v>
          </cell>
          <cell r="FT163">
            <v>34.9917224</v>
          </cell>
          <cell r="FU163">
            <v>0</v>
          </cell>
          <cell r="FV163">
            <v>0.38894300000000004</v>
          </cell>
          <cell r="FW163" t="str">
            <v>nd</v>
          </cell>
          <cell r="FX163">
            <v>2.4493299999999998</v>
          </cell>
          <cell r="FY163">
            <v>5.7510599999999998</v>
          </cell>
          <cell r="FZ163">
            <v>7.289514800000001</v>
          </cell>
          <cell r="GA163" t="str">
            <v>nd</v>
          </cell>
          <cell r="GB163">
            <v>0</v>
          </cell>
          <cell r="GC163">
            <v>0</v>
          </cell>
          <cell r="GD163">
            <v>0</v>
          </cell>
          <cell r="GE163" t="str">
            <v>nd</v>
          </cell>
          <cell r="GF163">
            <v>0</v>
          </cell>
          <cell r="GG163" t="str">
            <v>nd</v>
          </cell>
          <cell r="GH163" t="str">
            <v>nd</v>
          </cell>
          <cell r="GI163">
            <v>0</v>
          </cell>
          <cell r="GJ163">
            <v>4.4797799999999999</v>
          </cell>
          <cell r="GK163">
            <v>1.19207</v>
          </cell>
          <cell r="GL163" t="str">
            <v>nd</v>
          </cell>
          <cell r="GM163">
            <v>0</v>
          </cell>
          <cell r="GN163">
            <v>0.39592699999999997</v>
          </cell>
          <cell r="GO163">
            <v>2.0158200000000002</v>
          </cell>
          <cell r="GP163">
            <v>11.042914</v>
          </cell>
          <cell r="GQ163">
            <v>14.492694500000001</v>
          </cell>
          <cell r="GR163" t="str">
            <v>nd</v>
          </cell>
          <cell r="GS163">
            <v>0</v>
          </cell>
          <cell r="GT163">
            <v>0</v>
          </cell>
          <cell r="GU163">
            <v>0.95324999999999993</v>
          </cell>
          <cell r="GV163">
            <v>12.111295499999999</v>
          </cell>
          <cell r="GW163">
            <v>36.310549600000002</v>
          </cell>
          <cell r="GX163">
            <v>0</v>
          </cell>
          <cell r="GY163">
            <v>0</v>
          </cell>
          <cell r="GZ163">
            <v>0</v>
          </cell>
          <cell r="HA163">
            <v>0.52379699999999996</v>
          </cell>
          <cell r="HB163">
            <v>5.74925</v>
          </cell>
          <cell r="HC163">
            <v>9.6073971</v>
          </cell>
          <cell r="HD163">
            <v>0</v>
          </cell>
          <cell r="HE163" t="str">
            <v>nd</v>
          </cell>
          <cell r="HF163">
            <v>0</v>
          </cell>
          <cell r="HG163">
            <v>0</v>
          </cell>
          <cell r="HH163" t="str">
            <v>nd</v>
          </cell>
          <cell r="HI163">
            <v>0</v>
          </cell>
          <cell r="HJ163">
            <v>0</v>
          </cell>
          <cell r="HK163">
            <v>0</v>
          </cell>
          <cell r="HL163" t="str">
            <v>nd</v>
          </cell>
          <cell r="HM163">
            <v>4.7210200000000002</v>
          </cell>
          <cell r="HN163">
            <v>0.89005000000000001</v>
          </cell>
          <cell r="HO163" t="str">
            <v>nd</v>
          </cell>
          <cell r="HP163">
            <v>0</v>
          </cell>
          <cell r="HQ163">
            <v>0</v>
          </cell>
          <cell r="HR163">
            <v>0.97079000000000004</v>
          </cell>
          <cell r="HS163">
            <v>20.2722473</v>
          </cell>
          <cell r="HT163">
            <v>6.5682929000000003</v>
          </cell>
          <cell r="HU163">
            <v>0</v>
          </cell>
          <cell r="HV163">
            <v>0</v>
          </cell>
          <cell r="HW163">
            <v>0</v>
          </cell>
          <cell r="HX163">
            <v>1.34979</v>
          </cell>
          <cell r="HY163">
            <v>29.7066078</v>
          </cell>
          <cell r="HZ163">
            <v>18.521815400000001</v>
          </cell>
          <cell r="IA163">
            <v>0</v>
          </cell>
          <cell r="IB163">
            <v>0</v>
          </cell>
          <cell r="IC163" t="str">
            <v>nd</v>
          </cell>
          <cell r="ID163">
            <v>0.43800699999999998</v>
          </cell>
          <cell r="IE163">
            <v>11.8864538</v>
          </cell>
          <cell r="IF163">
            <v>3.6171300000000004</v>
          </cell>
          <cell r="IG163">
            <v>0</v>
          </cell>
          <cell r="IH163">
            <v>0</v>
          </cell>
          <cell r="II163">
            <v>0</v>
          </cell>
          <cell r="IJ163">
            <v>0</v>
          </cell>
          <cell r="IK163">
            <v>0.43866900000000003</v>
          </cell>
          <cell r="IL163">
            <v>0</v>
          </cell>
          <cell r="IM163">
            <v>0</v>
          </cell>
          <cell r="IN163" t="str">
            <v>nd</v>
          </cell>
          <cell r="IO163">
            <v>0.30413800000000002</v>
          </cell>
          <cell r="IP163">
            <v>3.9563599999999997</v>
          </cell>
          <cell r="IQ163">
            <v>1.38808</v>
          </cell>
          <cell r="IR163">
            <v>0</v>
          </cell>
          <cell r="IS163" t="str">
            <v>nd</v>
          </cell>
          <cell r="IT163">
            <v>0</v>
          </cell>
          <cell r="IU163">
            <v>0.65402899999999997</v>
          </cell>
          <cell r="IV163">
            <v>14.3526805</v>
          </cell>
          <cell r="IW163">
            <v>12.8442154</v>
          </cell>
          <cell r="IX163">
            <v>0</v>
          </cell>
          <cell r="IY163" t="str">
            <v>nd</v>
          </cell>
          <cell r="IZ163" t="str">
            <v>nd</v>
          </cell>
          <cell r="JA163">
            <v>0.81224999999999992</v>
          </cell>
          <cell r="JB163">
            <v>17.8954734</v>
          </cell>
          <cell r="JC163">
            <v>30.992655200000002</v>
          </cell>
          <cell r="JD163">
            <v>0</v>
          </cell>
          <cell r="JE163">
            <v>0</v>
          </cell>
          <cell r="JF163">
            <v>0</v>
          </cell>
          <cell r="JG163" t="str">
            <v>nd</v>
          </cell>
          <cell r="JH163">
            <v>7.7810384999999993</v>
          </cell>
          <cell r="JI163">
            <v>7.838779999999999</v>
          </cell>
          <cell r="JJ163">
            <v>0</v>
          </cell>
          <cell r="JK163">
            <v>0</v>
          </cell>
          <cell r="JL163">
            <v>0</v>
          </cell>
          <cell r="JM163">
            <v>0</v>
          </cell>
          <cell r="JN163">
            <v>0.40892000000000001</v>
          </cell>
          <cell r="JO163">
            <v>0</v>
          </cell>
          <cell r="JP163">
            <v>0</v>
          </cell>
          <cell r="JQ163">
            <v>0</v>
          </cell>
          <cell r="JR163">
            <v>0</v>
          </cell>
          <cell r="JS163" t="str">
            <v>nd</v>
          </cell>
          <cell r="JT163">
            <v>5.6255499999999996</v>
          </cell>
          <cell r="JU163">
            <v>0</v>
          </cell>
          <cell r="JV163">
            <v>0</v>
          </cell>
          <cell r="JW163">
            <v>0</v>
          </cell>
          <cell r="JX163" t="str">
            <v>nd</v>
          </cell>
          <cell r="JY163" t="str">
            <v>nd</v>
          </cell>
          <cell r="JZ163">
            <v>27.843770899999999</v>
          </cell>
          <cell r="KA163">
            <v>0</v>
          </cell>
          <cell r="KB163">
            <v>0</v>
          </cell>
          <cell r="KC163">
            <v>0</v>
          </cell>
          <cell r="KD163">
            <v>0</v>
          </cell>
          <cell r="KE163">
            <v>0.44984800000000003</v>
          </cell>
          <cell r="KF163">
            <v>49.407337299999995</v>
          </cell>
          <cell r="KG163">
            <v>0</v>
          </cell>
          <cell r="KH163">
            <v>0</v>
          </cell>
          <cell r="KI163">
            <v>0</v>
          </cell>
          <cell r="KJ163">
            <v>0</v>
          </cell>
          <cell r="KK163" t="str">
            <v>nd</v>
          </cell>
          <cell r="KL163">
            <v>15.7092604</v>
          </cell>
          <cell r="KM163">
            <v>84.3</v>
          </cell>
          <cell r="KN163">
            <v>4.7</v>
          </cell>
          <cell r="KO163">
            <v>3.5999999999999996</v>
          </cell>
          <cell r="KP163">
            <v>4.3999999999999995</v>
          </cell>
          <cell r="KQ163">
            <v>2.9000000000000004</v>
          </cell>
          <cell r="KR163">
            <v>0</v>
          </cell>
          <cell r="KS163">
            <v>83.399999999999991</v>
          </cell>
          <cell r="KT163">
            <v>5.2</v>
          </cell>
          <cell r="KU163">
            <v>3.6999999999999997</v>
          </cell>
          <cell r="KV163">
            <v>4.5999999999999996</v>
          </cell>
          <cell r="KW163">
            <v>3</v>
          </cell>
          <cell r="KX163">
            <v>0</v>
          </cell>
          <cell r="KY163"/>
          <cell r="KZ163"/>
          <cell r="LA163"/>
          <cell r="LB163"/>
          <cell r="LC163"/>
          <cell r="LD163"/>
          <cell r="LE163"/>
          <cell r="LF163"/>
          <cell r="LG163"/>
          <cell r="LH163"/>
          <cell r="LI163"/>
          <cell r="LJ163"/>
          <cell r="LK163"/>
          <cell r="LL163"/>
          <cell r="LM163"/>
          <cell r="LN163"/>
          <cell r="LO163"/>
        </row>
        <row r="164">
          <cell r="A164" t="str">
            <v>1EU2</v>
          </cell>
          <cell r="B164" t="str">
            <v>164</v>
          </cell>
          <cell r="C164" t="str">
            <v>NAF 4</v>
          </cell>
          <cell r="D164" t="str">
            <v>EU2</v>
          </cell>
          <cell r="E164" t="str">
            <v>1</v>
          </cell>
          <cell r="F164">
            <v>1.6</v>
          </cell>
          <cell r="G164">
            <v>4.8</v>
          </cell>
          <cell r="H164">
            <v>20.599999999999998</v>
          </cell>
          <cell r="I164">
            <v>56.499999999999993</v>
          </cell>
          <cell r="J164">
            <v>16.400000000000002</v>
          </cell>
          <cell r="K164">
            <v>46.400000000000006</v>
          </cell>
          <cell r="L164">
            <v>13.200000000000001</v>
          </cell>
          <cell r="M164">
            <v>35.799999999999997</v>
          </cell>
          <cell r="N164" t="str">
            <v>nd</v>
          </cell>
          <cell r="O164">
            <v>30.3</v>
          </cell>
          <cell r="P164">
            <v>23</v>
          </cell>
          <cell r="Q164">
            <v>34.9</v>
          </cell>
          <cell r="R164">
            <v>10.199999999999999</v>
          </cell>
          <cell r="S164">
            <v>15.1</v>
          </cell>
          <cell r="T164">
            <v>20.200000000000003</v>
          </cell>
          <cell r="U164">
            <v>6.4</v>
          </cell>
          <cell r="V164">
            <v>14.399999999999999</v>
          </cell>
          <cell r="W164">
            <v>6.8000000000000007</v>
          </cell>
          <cell r="X164">
            <v>88.5</v>
          </cell>
          <cell r="Y164">
            <v>4.7</v>
          </cell>
          <cell r="Z164" t="str">
            <v>nd</v>
          </cell>
          <cell r="AA164">
            <v>26.200000000000003</v>
          </cell>
          <cell r="AB164" t="str">
            <v>nd</v>
          </cell>
          <cell r="AC164">
            <v>21.5</v>
          </cell>
          <cell r="AD164">
            <v>50.8</v>
          </cell>
          <cell r="AE164">
            <v>22.5</v>
          </cell>
          <cell r="AF164">
            <v>77.5</v>
          </cell>
          <cell r="AG164">
            <v>52.5</v>
          </cell>
          <cell r="AH164">
            <v>47.5</v>
          </cell>
          <cell r="AI164">
            <v>28.9</v>
          </cell>
          <cell r="AJ164">
            <v>9.3000000000000007</v>
          </cell>
          <cell r="AK164">
            <v>8.4</v>
          </cell>
          <cell r="AL164">
            <v>45.300000000000004</v>
          </cell>
          <cell r="AM164">
            <v>8</v>
          </cell>
          <cell r="AN164">
            <v>0</v>
          </cell>
          <cell r="AO164" t="str">
            <v>nd</v>
          </cell>
          <cell r="AP164">
            <v>0</v>
          </cell>
          <cell r="AQ164">
            <v>92</v>
          </cell>
          <cell r="AR164">
            <v>5.8000000000000007</v>
          </cell>
          <cell r="AS164">
            <v>90.8</v>
          </cell>
          <cell r="AT164">
            <v>1.0999999999999999</v>
          </cell>
          <cell r="AU164">
            <v>3</v>
          </cell>
          <cell r="AV164">
            <v>1.7000000000000002</v>
          </cell>
          <cell r="AW164">
            <v>1.0999999999999999</v>
          </cell>
          <cell r="AX164">
            <v>2.2999999999999998</v>
          </cell>
          <cell r="AY164" t="str">
            <v>nd</v>
          </cell>
          <cell r="AZ164">
            <v>0</v>
          </cell>
          <cell r="BA164" t="str">
            <v>nd</v>
          </cell>
          <cell r="BB164">
            <v>2.1</v>
          </cell>
          <cell r="BC164">
            <v>13.900000000000002</v>
          </cell>
          <cell r="BD164">
            <v>83.1</v>
          </cell>
          <cell r="BE164">
            <v>1.5</v>
          </cell>
          <cell r="BF164" t="str">
            <v>nd</v>
          </cell>
          <cell r="BG164" t="str">
            <v>nd</v>
          </cell>
          <cell r="BH164">
            <v>1.5</v>
          </cell>
          <cell r="BI164">
            <v>11.3</v>
          </cell>
          <cell r="BJ164">
            <v>85</v>
          </cell>
          <cell r="BK164">
            <v>0</v>
          </cell>
          <cell r="BL164">
            <v>0</v>
          </cell>
          <cell r="BM164">
            <v>0</v>
          </cell>
          <cell r="BN164">
            <v>3.8</v>
          </cell>
          <cell r="BO164">
            <v>41.3</v>
          </cell>
          <cell r="BP164">
            <v>55.000000000000007</v>
          </cell>
          <cell r="BQ164">
            <v>0</v>
          </cell>
          <cell r="BR164" t="str">
            <v>nd</v>
          </cell>
          <cell r="BS164" t="str">
            <v>nd</v>
          </cell>
          <cell r="BT164" t="str">
            <v>nd</v>
          </cell>
          <cell r="BU164">
            <v>20.100000000000001</v>
          </cell>
          <cell r="BV164">
            <v>78.8</v>
          </cell>
          <cell r="BW164">
            <v>0</v>
          </cell>
          <cell r="BX164">
            <v>0</v>
          </cell>
          <cell r="BY164">
            <v>0</v>
          </cell>
          <cell r="BZ164">
            <v>0</v>
          </cell>
          <cell r="CA164" t="str">
            <v>nd</v>
          </cell>
          <cell r="CB164">
            <v>99.2</v>
          </cell>
          <cell r="CC164">
            <v>6.1</v>
          </cell>
          <cell r="CD164">
            <v>3.8</v>
          </cell>
          <cell r="CE164">
            <v>2.5</v>
          </cell>
          <cell r="CF164">
            <v>3.6999999999999997</v>
          </cell>
          <cell r="CG164">
            <v>0</v>
          </cell>
          <cell r="CH164">
            <v>17.5</v>
          </cell>
          <cell r="CI164">
            <v>7.6</v>
          </cell>
          <cell r="CJ164">
            <v>74.2</v>
          </cell>
          <cell r="CK164">
            <v>23.1</v>
          </cell>
          <cell r="CL164">
            <v>1.9</v>
          </cell>
          <cell r="CM164">
            <v>3</v>
          </cell>
          <cell r="CN164" t="str">
            <v>nd</v>
          </cell>
          <cell r="CO164">
            <v>75.099999999999994</v>
          </cell>
          <cell r="CP164">
            <v>12.8</v>
          </cell>
          <cell r="CQ164">
            <v>28.499999999999996</v>
          </cell>
          <cell r="CR164">
            <v>31.6</v>
          </cell>
          <cell r="CS164">
            <v>27.1</v>
          </cell>
          <cell r="CT164">
            <v>5.8000000000000007</v>
          </cell>
          <cell r="CU164">
            <v>94.199999999999989</v>
          </cell>
          <cell r="CV164">
            <v>2.2999999999999998</v>
          </cell>
          <cell r="CW164">
            <v>97.7</v>
          </cell>
          <cell r="CX164">
            <v>8.9</v>
          </cell>
          <cell r="CY164">
            <v>24.4</v>
          </cell>
          <cell r="CZ164">
            <v>66.7</v>
          </cell>
          <cell r="DA164" t="str">
            <v>nd</v>
          </cell>
          <cell r="DB164">
            <v>0</v>
          </cell>
          <cell r="DC164" t="str">
            <v>nd</v>
          </cell>
          <cell r="DD164">
            <v>0</v>
          </cell>
          <cell r="DE164">
            <v>80.5</v>
          </cell>
          <cell r="DF164">
            <v>25.6</v>
          </cell>
          <cell r="DG164">
            <v>9.9</v>
          </cell>
          <cell r="DH164">
            <v>17.2</v>
          </cell>
          <cell r="DI164">
            <v>11.5</v>
          </cell>
          <cell r="DJ164">
            <v>12.1</v>
          </cell>
          <cell r="DK164">
            <v>23.599999999999998</v>
          </cell>
          <cell r="DL164">
            <v>31.900000000000002</v>
          </cell>
          <cell r="DM164">
            <v>25.4</v>
          </cell>
          <cell r="DN164">
            <v>5.8999999999999995</v>
          </cell>
          <cell r="DO164">
            <v>25.6</v>
          </cell>
          <cell r="DP164">
            <v>2.9000000000000004</v>
          </cell>
          <cell r="DQ164" t="str">
            <v>nd</v>
          </cell>
          <cell r="DR164">
            <v>28.299999999999997</v>
          </cell>
          <cell r="DS164">
            <v>5.2</v>
          </cell>
          <cell r="DT164">
            <v>12.8</v>
          </cell>
          <cell r="DU164">
            <v>0</v>
          </cell>
          <cell r="DV164">
            <v>0</v>
          </cell>
          <cell r="DW164">
            <v>0</v>
          </cell>
          <cell r="DX164" t="str">
            <v>nd</v>
          </cell>
          <cell r="DY164" t="str">
            <v>nd</v>
          </cell>
          <cell r="DZ164">
            <v>3.8054800000000002</v>
          </cell>
          <cell r="EA164">
            <v>0</v>
          </cell>
          <cell r="EB164">
            <v>0</v>
          </cell>
          <cell r="EC164" t="str">
            <v>nd</v>
          </cell>
          <cell r="ED164">
            <v>0</v>
          </cell>
          <cell r="EE164">
            <v>0</v>
          </cell>
          <cell r="EF164">
            <v>17.761609</v>
          </cell>
          <cell r="EG164" t="str">
            <v>nd</v>
          </cell>
          <cell r="EH164">
            <v>1.5645099999999998</v>
          </cell>
          <cell r="EI164">
            <v>0</v>
          </cell>
          <cell r="EJ164" t="str">
            <v>nd</v>
          </cell>
          <cell r="EK164" t="str">
            <v>nd</v>
          </cell>
          <cell r="EL164">
            <v>52.684623799999997</v>
          </cell>
          <cell r="EM164" t="str">
            <v>nd</v>
          </cell>
          <cell r="EN164">
            <v>1.47767</v>
          </cell>
          <cell r="EO164">
            <v>0</v>
          </cell>
          <cell r="EP164" t="str">
            <v>nd</v>
          </cell>
          <cell r="EQ164" t="str">
            <v>nd</v>
          </cell>
          <cell r="ER164">
            <v>16.564505199999999</v>
          </cell>
          <cell r="ES164">
            <v>0</v>
          </cell>
          <cell r="ET164">
            <v>0</v>
          </cell>
          <cell r="EU164" t="str">
            <v>nd</v>
          </cell>
          <cell r="EV164">
            <v>0</v>
          </cell>
          <cell r="EW164">
            <v>0</v>
          </cell>
          <cell r="EX164">
            <v>0</v>
          </cell>
          <cell r="EY164">
            <v>0</v>
          </cell>
          <cell r="EZ164">
            <v>0</v>
          </cell>
          <cell r="FA164">
            <v>0</v>
          </cell>
          <cell r="FB164">
            <v>1.6589900000000002</v>
          </cell>
          <cell r="FC164">
            <v>0</v>
          </cell>
          <cell r="FD164">
            <v>0</v>
          </cell>
          <cell r="FE164">
            <v>0</v>
          </cell>
          <cell r="FF164">
            <v>0</v>
          </cell>
          <cell r="FG164">
            <v>1.0154300000000001</v>
          </cell>
          <cell r="FH164">
            <v>3.6795099999999996</v>
          </cell>
          <cell r="FI164">
            <v>0</v>
          </cell>
          <cell r="FJ164">
            <v>0</v>
          </cell>
          <cell r="FK164">
            <v>0</v>
          </cell>
          <cell r="FL164">
            <v>1.0207199999999998</v>
          </cell>
          <cell r="FM164">
            <v>6.0434900000000003</v>
          </cell>
          <cell r="FN164">
            <v>13.867466</v>
          </cell>
          <cell r="FO164">
            <v>0</v>
          </cell>
          <cell r="FP164">
            <v>0</v>
          </cell>
          <cell r="FQ164" t="str">
            <v>nd</v>
          </cell>
          <cell r="FR164" t="str">
            <v>nd</v>
          </cell>
          <cell r="FS164">
            <v>5.0283199999999999</v>
          </cell>
          <cell r="FT164">
            <v>50.966099700000001</v>
          </cell>
          <cell r="FU164">
            <v>0</v>
          </cell>
          <cell r="FV164">
            <v>0</v>
          </cell>
          <cell r="FW164">
            <v>0</v>
          </cell>
          <cell r="FX164">
            <v>0</v>
          </cell>
          <cell r="FY164">
            <v>1.8622300000000001</v>
          </cell>
          <cell r="FZ164">
            <v>13.2142391</v>
          </cell>
          <cell r="GA164" t="str">
            <v>nd</v>
          </cell>
          <cell r="GB164">
            <v>0</v>
          </cell>
          <cell r="GC164">
            <v>0</v>
          </cell>
          <cell r="GD164">
            <v>0</v>
          </cell>
          <cell r="GE164" t="str">
            <v>nd</v>
          </cell>
          <cell r="GF164">
            <v>0</v>
          </cell>
          <cell r="GG164" t="str">
            <v>nd</v>
          </cell>
          <cell r="GH164">
            <v>0</v>
          </cell>
          <cell r="GI164">
            <v>0</v>
          </cell>
          <cell r="GJ164">
            <v>1.18797</v>
          </cell>
          <cell r="GK164">
            <v>3.5074000000000001</v>
          </cell>
          <cell r="GL164">
            <v>0</v>
          </cell>
          <cell r="GM164">
            <v>0</v>
          </cell>
          <cell r="GN164" t="str">
            <v>nd</v>
          </cell>
          <cell r="GO164" t="str">
            <v>nd</v>
          </cell>
          <cell r="GP164">
            <v>3.60501</v>
          </cell>
          <cell r="GQ164">
            <v>15.560047099999998</v>
          </cell>
          <cell r="GR164" t="str">
            <v>nd</v>
          </cell>
          <cell r="GS164">
            <v>0</v>
          </cell>
          <cell r="GT164">
            <v>0</v>
          </cell>
          <cell r="GU164">
            <v>1.2954600000000001</v>
          </cell>
          <cell r="GV164">
            <v>4.8068900000000001</v>
          </cell>
          <cell r="GW164">
            <v>51.585777099999994</v>
          </cell>
          <cell r="GX164">
            <v>0</v>
          </cell>
          <cell r="GY164">
            <v>0</v>
          </cell>
          <cell r="GZ164">
            <v>0</v>
          </cell>
          <cell r="HA164">
            <v>0</v>
          </cell>
          <cell r="HB164">
            <v>1.6591200000000002</v>
          </cell>
          <cell r="HC164">
            <v>13.6140439</v>
          </cell>
          <cell r="HD164">
            <v>0</v>
          </cell>
          <cell r="HE164" t="str">
            <v>nd</v>
          </cell>
          <cell r="HF164">
            <v>0</v>
          </cell>
          <cell r="HG164">
            <v>0</v>
          </cell>
          <cell r="HH164" t="str">
            <v>nd</v>
          </cell>
          <cell r="HI164">
            <v>0</v>
          </cell>
          <cell r="HJ164">
            <v>0</v>
          </cell>
          <cell r="HK164">
            <v>0</v>
          </cell>
          <cell r="HL164">
            <v>0</v>
          </cell>
          <cell r="HM164">
            <v>1.8925799999999999</v>
          </cell>
          <cell r="HN164">
            <v>2.8602099999999999</v>
          </cell>
          <cell r="HO164">
            <v>0</v>
          </cell>
          <cell r="HP164">
            <v>0</v>
          </cell>
          <cell r="HQ164">
            <v>0</v>
          </cell>
          <cell r="HR164" t="str">
            <v>nd</v>
          </cell>
          <cell r="HS164">
            <v>10.377656399999999</v>
          </cell>
          <cell r="HT164">
            <v>9.3677492999999998</v>
          </cell>
          <cell r="HU164">
            <v>0</v>
          </cell>
          <cell r="HV164">
            <v>0</v>
          </cell>
          <cell r="HW164">
            <v>0</v>
          </cell>
          <cell r="HX164">
            <v>3.0832899999999999</v>
          </cell>
          <cell r="HY164">
            <v>19.428706200000001</v>
          </cell>
          <cell r="HZ164">
            <v>35.708428099999999</v>
          </cell>
          <cell r="IA164">
            <v>0</v>
          </cell>
          <cell r="IB164">
            <v>0</v>
          </cell>
          <cell r="IC164">
            <v>0</v>
          </cell>
          <cell r="ID164">
            <v>0</v>
          </cell>
          <cell r="IE164">
            <v>9.1245224999999994</v>
          </cell>
          <cell r="IF164">
            <v>5.8135899999999996</v>
          </cell>
          <cell r="IG164">
            <v>0</v>
          </cell>
          <cell r="IH164">
            <v>0</v>
          </cell>
          <cell r="II164">
            <v>0</v>
          </cell>
          <cell r="IJ164">
            <v>0</v>
          </cell>
          <cell r="IK164">
            <v>1.7641899999999999</v>
          </cell>
          <cell r="IL164">
            <v>0</v>
          </cell>
          <cell r="IM164">
            <v>0</v>
          </cell>
          <cell r="IN164">
            <v>0</v>
          </cell>
          <cell r="IO164">
            <v>0</v>
          </cell>
          <cell r="IP164" t="str">
            <v>nd</v>
          </cell>
          <cell r="IQ164">
            <v>3.7101899999999999</v>
          </cell>
          <cell r="IR164">
            <v>0</v>
          </cell>
          <cell r="IS164">
            <v>0</v>
          </cell>
          <cell r="IT164">
            <v>0</v>
          </cell>
          <cell r="IU164">
            <v>0</v>
          </cell>
          <cell r="IV164">
            <v>3.3336200000000002</v>
          </cell>
          <cell r="IW164">
            <v>16.330349899999998</v>
          </cell>
          <cell r="IX164">
            <v>0</v>
          </cell>
          <cell r="IY164" t="str">
            <v>nd</v>
          </cell>
          <cell r="IZ164" t="str">
            <v>nd</v>
          </cell>
          <cell r="JA164" t="str">
            <v>nd</v>
          </cell>
          <cell r="JB164">
            <v>11.5331393</v>
          </cell>
          <cell r="JC164">
            <v>45.6780288</v>
          </cell>
          <cell r="JD164">
            <v>0</v>
          </cell>
          <cell r="JE164">
            <v>0</v>
          </cell>
          <cell r="JF164">
            <v>0</v>
          </cell>
          <cell r="JG164">
            <v>0</v>
          </cell>
          <cell r="JH164">
            <v>3.8591000000000002</v>
          </cell>
          <cell r="JI164">
            <v>11.600892999999999</v>
          </cell>
          <cell r="JJ164">
            <v>0</v>
          </cell>
          <cell r="JK164">
            <v>0</v>
          </cell>
          <cell r="JL164">
            <v>0</v>
          </cell>
          <cell r="JM164">
            <v>0</v>
          </cell>
          <cell r="JN164">
            <v>1.6445499999999997</v>
          </cell>
          <cell r="JO164">
            <v>0</v>
          </cell>
          <cell r="JP164">
            <v>0</v>
          </cell>
          <cell r="JQ164">
            <v>0</v>
          </cell>
          <cell r="JR164">
            <v>0</v>
          </cell>
          <cell r="JS164">
            <v>0</v>
          </cell>
          <cell r="JT164">
            <v>4.17279</v>
          </cell>
          <cell r="JU164">
            <v>0</v>
          </cell>
          <cell r="JV164">
            <v>0</v>
          </cell>
          <cell r="JW164">
            <v>0</v>
          </cell>
          <cell r="JX164">
            <v>0</v>
          </cell>
          <cell r="JY164">
            <v>0</v>
          </cell>
          <cell r="JZ164">
            <v>19.777548899999999</v>
          </cell>
          <cell r="KA164">
            <v>0</v>
          </cell>
          <cell r="KB164">
            <v>0</v>
          </cell>
          <cell r="KC164">
            <v>0</v>
          </cell>
          <cell r="KD164">
            <v>0</v>
          </cell>
          <cell r="KE164" t="str">
            <v>nd</v>
          </cell>
          <cell r="KF164">
            <v>58.201951999999999</v>
          </cell>
          <cell r="KG164">
            <v>0</v>
          </cell>
          <cell r="KH164">
            <v>0</v>
          </cell>
          <cell r="KI164">
            <v>0</v>
          </cell>
          <cell r="KJ164">
            <v>0</v>
          </cell>
          <cell r="KK164">
            <v>0</v>
          </cell>
          <cell r="KL164">
            <v>15.402012300000001</v>
          </cell>
          <cell r="KM164">
            <v>90.100000000000009</v>
          </cell>
          <cell r="KN164">
            <v>1.7000000000000002</v>
          </cell>
          <cell r="KO164">
            <v>2.7</v>
          </cell>
          <cell r="KP164">
            <v>3.9</v>
          </cell>
          <cell r="KQ164">
            <v>1.5</v>
          </cell>
          <cell r="KR164">
            <v>0</v>
          </cell>
          <cell r="KS164">
            <v>89.600000000000009</v>
          </cell>
          <cell r="KT164">
            <v>1.9</v>
          </cell>
          <cell r="KU164">
            <v>2.8000000000000003</v>
          </cell>
          <cell r="KV164">
            <v>4.2</v>
          </cell>
          <cell r="KW164">
            <v>1.5</v>
          </cell>
          <cell r="KX164">
            <v>0</v>
          </cell>
          <cell r="KY164"/>
          <cell r="KZ164"/>
          <cell r="LA164"/>
          <cell r="LB164"/>
          <cell r="LC164"/>
          <cell r="LD164"/>
          <cell r="LE164"/>
          <cell r="LF164"/>
          <cell r="LG164"/>
          <cell r="LH164"/>
          <cell r="LI164"/>
          <cell r="LJ164"/>
          <cell r="LK164"/>
          <cell r="LL164"/>
          <cell r="LM164"/>
          <cell r="LN164"/>
          <cell r="LO164"/>
        </row>
        <row r="165">
          <cell r="A165" t="str">
            <v>2EU2</v>
          </cell>
          <cell r="B165" t="str">
            <v>165</v>
          </cell>
          <cell r="C165" t="str">
            <v>NAF 4</v>
          </cell>
          <cell r="D165" t="str">
            <v>EU2</v>
          </cell>
          <cell r="E165" t="str">
            <v>2</v>
          </cell>
          <cell r="F165">
            <v>0</v>
          </cell>
          <cell r="G165">
            <v>1.9</v>
          </cell>
          <cell r="H165">
            <v>23.799999999999997</v>
          </cell>
          <cell r="I165">
            <v>60.4</v>
          </cell>
          <cell r="J165">
            <v>13.900000000000002</v>
          </cell>
          <cell r="K165">
            <v>46</v>
          </cell>
          <cell r="L165">
            <v>27.6</v>
          </cell>
          <cell r="M165">
            <v>20</v>
          </cell>
          <cell r="N165">
            <v>6.4</v>
          </cell>
          <cell r="O165">
            <v>18.600000000000001</v>
          </cell>
          <cell r="P165">
            <v>25.7</v>
          </cell>
          <cell r="Q165">
            <v>23.1</v>
          </cell>
          <cell r="R165">
            <v>6.6000000000000005</v>
          </cell>
          <cell r="S165">
            <v>17.100000000000001</v>
          </cell>
          <cell r="T165">
            <v>22</v>
          </cell>
          <cell r="U165">
            <v>7.0000000000000009</v>
          </cell>
          <cell r="V165">
            <v>26</v>
          </cell>
          <cell r="W165">
            <v>5.2</v>
          </cell>
          <cell r="X165">
            <v>84.8</v>
          </cell>
          <cell r="Y165">
            <v>10</v>
          </cell>
          <cell r="Z165" t="str">
            <v>nd</v>
          </cell>
          <cell r="AA165">
            <v>38.5</v>
          </cell>
          <cell r="AB165" t="str">
            <v>nd</v>
          </cell>
          <cell r="AC165">
            <v>30.8</v>
          </cell>
          <cell r="AD165" t="str">
            <v>nd</v>
          </cell>
          <cell r="AE165">
            <v>40</v>
          </cell>
          <cell r="AF165">
            <v>60</v>
          </cell>
          <cell r="AG165">
            <v>67.900000000000006</v>
          </cell>
          <cell r="AH165">
            <v>32.1</v>
          </cell>
          <cell r="AI165">
            <v>17.299999999999997</v>
          </cell>
          <cell r="AJ165">
            <v>7.0000000000000009</v>
          </cell>
          <cell r="AK165">
            <v>7.3</v>
          </cell>
          <cell r="AL165">
            <v>57.099999999999994</v>
          </cell>
          <cell r="AM165">
            <v>11.3</v>
          </cell>
          <cell r="AN165">
            <v>0</v>
          </cell>
          <cell r="AO165" t="str">
            <v>nd</v>
          </cell>
          <cell r="AP165" t="str">
            <v>nd</v>
          </cell>
          <cell r="AQ165">
            <v>94.399999999999991</v>
          </cell>
          <cell r="AR165" t="str">
            <v>nd</v>
          </cell>
          <cell r="AS165">
            <v>87</v>
          </cell>
          <cell r="AT165">
            <v>9.9</v>
          </cell>
          <cell r="AU165">
            <v>2.1</v>
          </cell>
          <cell r="AV165">
            <v>0</v>
          </cell>
          <cell r="AW165">
            <v>0</v>
          </cell>
          <cell r="AX165" t="str">
            <v>nd</v>
          </cell>
          <cell r="AY165" t="str">
            <v>nd</v>
          </cell>
          <cell r="AZ165" t="str">
            <v>nd</v>
          </cell>
          <cell r="BA165" t="str">
            <v>nd</v>
          </cell>
          <cell r="BB165">
            <v>2.6</v>
          </cell>
          <cell r="BC165">
            <v>14.499999999999998</v>
          </cell>
          <cell r="BD165">
            <v>81</v>
          </cell>
          <cell r="BE165">
            <v>0</v>
          </cell>
          <cell r="BF165">
            <v>0</v>
          </cell>
          <cell r="BG165">
            <v>1.6</v>
          </cell>
          <cell r="BH165">
            <v>6.5</v>
          </cell>
          <cell r="BI165">
            <v>22.8</v>
          </cell>
          <cell r="BJ165">
            <v>69.099999999999994</v>
          </cell>
          <cell r="BK165">
            <v>0</v>
          </cell>
          <cell r="BL165">
            <v>0</v>
          </cell>
          <cell r="BM165" t="str">
            <v>nd</v>
          </cell>
          <cell r="BN165" t="str">
            <v>nd</v>
          </cell>
          <cell r="BO165">
            <v>58.599999999999994</v>
          </cell>
          <cell r="BP165">
            <v>39.800000000000004</v>
          </cell>
          <cell r="BQ165">
            <v>0</v>
          </cell>
          <cell r="BR165">
            <v>0</v>
          </cell>
          <cell r="BS165">
            <v>0</v>
          </cell>
          <cell r="BT165">
            <v>2.7</v>
          </cell>
          <cell r="BU165">
            <v>24.3</v>
          </cell>
          <cell r="BV165">
            <v>73</v>
          </cell>
          <cell r="BW165">
            <v>0</v>
          </cell>
          <cell r="BX165">
            <v>0</v>
          </cell>
          <cell r="BY165">
            <v>0</v>
          </cell>
          <cell r="BZ165">
            <v>0</v>
          </cell>
          <cell r="CA165">
            <v>0</v>
          </cell>
          <cell r="CB165">
            <v>100</v>
          </cell>
          <cell r="CC165">
            <v>6.3</v>
          </cell>
          <cell r="CD165">
            <v>12.3</v>
          </cell>
          <cell r="CE165" t="str">
            <v>nd</v>
          </cell>
          <cell r="CF165">
            <v>3.6999999999999997</v>
          </cell>
          <cell r="CG165">
            <v>0</v>
          </cell>
          <cell r="CH165">
            <v>21.099999999999998</v>
          </cell>
          <cell r="CI165">
            <v>8.6</v>
          </cell>
          <cell r="CJ165">
            <v>68</v>
          </cell>
          <cell r="CK165">
            <v>42.8</v>
          </cell>
          <cell r="CL165">
            <v>3.1</v>
          </cell>
          <cell r="CM165">
            <v>2.2999999999999998</v>
          </cell>
          <cell r="CN165" t="str">
            <v>nd</v>
          </cell>
          <cell r="CO165">
            <v>58.599999999999994</v>
          </cell>
          <cell r="CP165">
            <v>9.5</v>
          </cell>
          <cell r="CQ165">
            <v>30.4</v>
          </cell>
          <cell r="CR165">
            <v>30.9</v>
          </cell>
          <cell r="CS165">
            <v>29.2</v>
          </cell>
          <cell r="CT165">
            <v>6.1</v>
          </cell>
          <cell r="CU165">
            <v>93.899999999999991</v>
          </cell>
          <cell r="CV165">
            <v>6.8000000000000007</v>
          </cell>
          <cell r="CW165">
            <v>93.2</v>
          </cell>
          <cell r="CX165">
            <v>8.7999999999999989</v>
          </cell>
          <cell r="CY165">
            <v>21</v>
          </cell>
          <cell r="CZ165">
            <v>70.199999999999989</v>
          </cell>
          <cell r="DA165" t="str">
            <v>nd</v>
          </cell>
          <cell r="DB165">
            <v>0</v>
          </cell>
          <cell r="DC165" t="str">
            <v>nd</v>
          </cell>
          <cell r="DD165">
            <v>0</v>
          </cell>
          <cell r="DE165">
            <v>80.5</v>
          </cell>
          <cell r="DF165">
            <v>24.8</v>
          </cell>
          <cell r="DG165">
            <v>12.8</v>
          </cell>
          <cell r="DH165">
            <v>18.5</v>
          </cell>
          <cell r="DI165">
            <v>11.3</v>
          </cell>
          <cell r="DJ165">
            <v>13</v>
          </cell>
          <cell r="DK165">
            <v>19.7</v>
          </cell>
          <cell r="DL165">
            <v>21.5</v>
          </cell>
          <cell r="DM165">
            <v>31.1</v>
          </cell>
          <cell r="DN165">
            <v>10.199999999999999</v>
          </cell>
          <cell r="DO165">
            <v>29.599999999999998</v>
          </cell>
          <cell r="DP165">
            <v>2.5</v>
          </cell>
          <cell r="DQ165">
            <v>0</v>
          </cell>
          <cell r="DR165">
            <v>14.099999999999998</v>
          </cell>
          <cell r="DS165">
            <v>6.7</v>
          </cell>
          <cell r="DT165">
            <v>18.5</v>
          </cell>
          <cell r="DU165">
            <v>0</v>
          </cell>
          <cell r="DV165">
            <v>0</v>
          </cell>
          <cell r="DW165">
            <v>0</v>
          </cell>
          <cell r="DX165">
            <v>0</v>
          </cell>
          <cell r="DY165">
            <v>0</v>
          </cell>
          <cell r="DZ165" t="str">
            <v>nd</v>
          </cell>
          <cell r="EA165">
            <v>0</v>
          </cell>
          <cell r="EB165" t="str">
            <v>nd</v>
          </cell>
          <cell r="EC165">
            <v>0</v>
          </cell>
          <cell r="ED165">
            <v>0</v>
          </cell>
          <cell r="EE165">
            <v>0</v>
          </cell>
          <cell r="EF165">
            <v>16.901288699999998</v>
          </cell>
          <cell r="EG165">
            <v>5.9148399999999999</v>
          </cell>
          <cell r="EH165" t="str">
            <v>nd</v>
          </cell>
          <cell r="EI165">
            <v>0</v>
          </cell>
          <cell r="EJ165">
            <v>0</v>
          </cell>
          <cell r="EK165" t="str">
            <v>nd</v>
          </cell>
          <cell r="EL165">
            <v>55.185656400000006</v>
          </cell>
          <cell r="EM165">
            <v>3.7138100000000001</v>
          </cell>
          <cell r="EN165">
            <v>0</v>
          </cell>
          <cell r="EO165">
            <v>0</v>
          </cell>
          <cell r="EP165">
            <v>0</v>
          </cell>
          <cell r="EQ165" t="str">
            <v>nd</v>
          </cell>
          <cell r="ER165">
            <v>13.9748584</v>
          </cell>
          <cell r="ES165" t="str">
            <v>nd</v>
          </cell>
          <cell r="ET165">
            <v>0</v>
          </cell>
          <cell r="EU165">
            <v>0</v>
          </cell>
          <cell r="EV165">
            <v>0</v>
          </cell>
          <cell r="EW165">
            <v>0</v>
          </cell>
          <cell r="EX165">
            <v>0</v>
          </cell>
          <cell r="EY165">
            <v>0</v>
          </cell>
          <cell r="EZ165">
            <v>0</v>
          </cell>
          <cell r="FA165">
            <v>0</v>
          </cell>
          <cell r="FB165">
            <v>0</v>
          </cell>
          <cell r="FC165">
            <v>0</v>
          </cell>
          <cell r="FD165">
            <v>0</v>
          </cell>
          <cell r="FE165" t="str">
            <v>nd</v>
          </cell>
          <cell r="FF165">
            <v>0</v>
          </cell>
          <cell r="FG165" t="str">
            <v>nd</v>
          </cell>
          <cell r="FH165" t="str">
            <v>nd</v>
          </cell>
          <cell r="FI165" t="str">
            <v>nd</v>
          </cell>
          <cell r="FJ165">
            <v>0</v>
          </cell>
          <cell r="FK165" t="str">
            <v>nd</v>
          </cell>
          <cell r="FL165">
            <v>1.4649000000000001</v>
          </cell>
          <cell r="FM165">
            <v>3.6852299999999998</v>
          </cell>
          <cell r="FN165">
            <v>18.774898100000001</v>
          </cell>
          <cell r="FO165">
            <v>0</v>
          </cell>
          <cell r="FP165">
            <v>0</v>
          </cell>
          <cell r="FQ165">
            <v>0</v>
          </cell>
          <cell r="FR165" t="str">
            <v>nd</v>
          </cell>
          <cell r="FS165">
            <v>4.7465899999999994</v>
          </cell>
          <cell r="FT165">
            <v>52.874174100000005</v>
          </cell>
          <cell r="FU165">
            <v>0</v>
          </cell>
          <cell r="FV165" t="str">
            <v>nd</v>
          </cell>
          <cell r="FW165">
            <v>0</v>
          </cell>
          <cell r="FX165">
            <v>0</v>
          </cell>
          <cell r="FY165">
            <v>5.6712999999999996</v>
          </cell>
          <cell r="FZ165">
            <v>8.2084294</v>
          </cell>
          <cell r="GA165">
            <v>0</v>
          </cell>
          <cell r="GB165">
            <v>0</v>
          </cell>
          <cell r="GC165">
            <v>0</v>
          </cell>
          <cell r="GD165">
            <v>0</v>
          </cell>
          <cell r="GE165">
            <v>0</v>
          </cell>
          <cell r="GF165">
            <v>0</v>
          </cell>
          <cell r="GG165">
            <v>0</v>
          </cell>
          <cell r="GH165" t="str">
            <v>nd</v>
          </cell>
          <cell r="GI165">
            <v>0</v>
          </cell>
          <cell r="GJ165" t="str">
            <v>nd</v>
          </cell>
          <cell r="GK165" t="str">
            <v>nd</v>
          </cell>
          <cell r="GL165">
            <v>0</v>
          </cell>
          <cell r="GM165">
            <v>0</v>
          </cell>
          <cell r="GN165" t="str">
            <v>nd</v>
          </cell>
          <cell r="GO165">
            <v>3.0245299999999999</v>
          </cell>
          <cell r="GP165">
            <v>6.5090059000000009</v>
          </cell>
          <cell r="GQ165">
            <v>15.278752300000001</v>
          </cell>
          <cell r="GR165">
            <v>0</v>
          </cell>
          <cell r="GS165">
            <v>0</v>
          </cell>
          <cell r="GT165">
            <v>0</v>
          </cell>
          <cell r="GU165" t="str">
            <v>nd</v>
          </cell>
          <cell r="GV165">
            <v>9.8228025999999993</v>
          </cell>
          <cell r="GW165">
            <v>46.606155999999999</v>
          </cell>
          <cell r="GX165">
            <v>0</v>
          </cell>
          <cell r="GY165">
            <v>0</v>
          </cell>
          <cell r="GZ165">
            <v>0</v>
          </cell>
          <cell r="HA165" t="str">
            <v>nd</v>
          </cell>
          <cell r="HB165">
            <v>5.61158</v>
          </cell>
          <cell r="HC165">
            <v>6.7220317000000005</v>
          </cell>
          <cell r="HD165">
            <v>0</v>
          </cell>
          <cell r="HE165">
            <v>0</v>
          </cell>
          <cell r="HF165">
            <v>0</v>
          </cell>
          <cell r="HG165">
            <v>0</v>
          </cell>
          <cell r="HH165">
            <v>0</v>
          </cell>
          <cell r="HI165">
            <v>0</v>
          </cell>
          <cell r="HJ165">
            <v>0</v>
          </cell>
          <cell r="HK165">
            <v>0</v>
          </cell>
          <cell r="HL165">
            <v>0</v>
          </cell>
          <cell r="HM165">
            <v>1.47245</v>
          </cell>
          <cell r="HN165" t="str">
            <v>nd</v>
          </cell>
          <cell r="HO165">
            <v>0</v>
          </cell>
          <cell r="HP165">
            <v>0</v>
          </cell>
          <cell r="HQ165">
            <v>0</v>
          </cell>
          <cell r="HR165" t="str">
            <v>nd</v>
          </cell>
          <cell r="HS165">
            <v>14.1240597</v>
          </cell>
          <cell r="HT165">
            <v>10.552559499999999</v>
          </cell>
          <cell r="HU165">
            <v>0</v>
          </cell>
          <cell r="HV165">
            <v>0</v>
          </cell>
          <cell r="HW165">
            <v>0</v>
          </cell>
          <cell r="HX165">
            <v>0</v>
          </cell>
          <cell r="HY165">
            <v>34.627768500000002</v>
          </cell>
          <cell r="HZ165">
            <v>23.8337082</v>
          </cell>
          <cell r="IA165">
            <v>0</v>
          </cell>
          <cell r="IB165">
            <v>0</v>
          </cell>
          <cell r="IC165" t="str">
            <v>nd</v>
          </cell>
          <cell r="ID165" t="str">
            <v>nd</v>
          </cell>
          <cell r="IE165">
            <v>8.2260234000000008</v>
          </cell>
          <cell r="IF165">
            <v>5.0760300000000003</v>
          </cell>
          <cell r="IG165">
            <v>0</v>
          </cell>
          <cell r="IH165">
            <v>0</v>
          </cell>
          <cell r="II165">
            <v>0</v>
          </cell>
          <cell r="IJ165">
            <v>0</v>
          </cell>
          <cell r="IK165">
            <v>0</v>
          </cell>
          <cell r="IL165">
            <v>0</v>
          </cell>
          <cell r="IM165">
            <v>0</v>
          </cell>
          <cell r="IN165">
            <v>0</v>
          </cell>
          <cell r="IO165">
            <v>0</v>
          </cell>
          <cell r="IP165" t="str">
            <v>nd</v>
          </cell>
          <cell r="IQ165" t="str">
            <v>nd</v>
          </cell>
          <cell r="IR165">
            <v>0</v>
          </cell>
          <cell r="IS165">
            <v>0</v>
          </cell>
          <cell r="IT165">
            <v>0</v>
          </cell>
          <cell r="IU165" t="str">
            <v>nd</v>
          </cell>
          <cell r="IV165">
            <v>7.4171258</v>
          </cell>
          <cell r="IW165">
            <v>17.655781300000001</v>
          </cell>
          <cell r="IX165">
            <v>0</v>
          </cell>
          <cell r="IY165">
            <v>0</v>
          </cell>
          <cell r="IZ165">
            <v>0</v>
          </cell>
          <cell r="JA165" t="str">
            <v>nd</v>
          </cell>
          <cell r="JB165">
            <v>11.9592478</v>
          </cell>
          <cell r="JC165">
            <v>45.372295600000001</v>
          </cell>
          <cell r="JD165">
            <v>0</v>
          </cell>
          <cell r="JE165">
            <v>0</v>
          </cell>
          <cell r="JF165">
            <v>0</v>
          </cell>
          <cell r="JG165">
            <v>0</v>
          </cell>
          <cell r="JH165">
            <v>3.8628299999999998</v>
          </cell>
          <cell r="JI165">
            <v>9.0416313000000006</v>
          </cell>
          <cell r="JJ165">
            <v>0</v>
          </cell>
          <cell r="JK165">
            <v>0</v>
          </cell>
          <cell r="JL165">
            <v>0</v>
          </cell>
          <cell r="JM165">
            <v>0</v>
          </cell>
          <cell r="JN165">
            <v>0</v>
          </cell>
          <cell r="JO165">
            <v>0</v>
          </cell>
          <cell r="JP165">
            <v>0</v>
          </cell>
          <cell r="JQ165">
            <v>0</v>
          </cell>
          <cell r="JR165">
            <v>0</v>
          </cell>
          <cell r="JS165">
            <v>0</v>
          </cell>
          <cell r="JT165">
            <v>2.0935600000000001</v>
          </cell>
          <cell r="JU165">
            <v>0</v>
          </cell>
          <cell r="JV165">
            <v>0</v>
          </cell>
          <cell r="JW165">
            <v>0</v>
          </cell>
          <cell r="JX165">
            <v>0</v>
          </cell>
          <cell r="JY165">
            <v>0</v>
          </cell>
          <cell r="JZ165">
            <v>25.993851200000002</v>
          </cell>
          <cell r="KA165">
            <v>0</v>
          </cell>
          <cell r="KB165">
            <v>0</v>
          </cell>
          <cell r="KC165">
            <v>0</v>
          </cell>
          <cell r="KD165">
            <v>0</v>
          </cell>
          <cell r="KE165">
            <v>0</v>
          </cell>
          <cell r="KF165">
            <v>58.937740500000004</v>
          </cell>
          <cell r="KG165">
            <v>0</v>
          </cell>
          <cell r="KH165">
            <v>0</v>
          </cell>
          <cell r="KI165">
            <v>0</v>
          </cell>
          <cell r="KJ165">
            <v>0</v>
          </cell>
          <cell r="KK165">
            <v>0</v>
          </cell>
          <cell r="KL165">
            <v>12.9748521</v>
          </cell>
          <cell r="KM165">
            <v>89.7</v>
          </cell>
          <cell r="KN165">
            <v>2.1</v>
          </cell>
          <cell r="KO165">
            <v>3.4000000000000004</v>
          </cell>
          <cell r="KP165">
            <v>3.2</v>
          </cell>
          <cell r="KQ165">
            <v>1.5</v>
          </cell>
          <cell r="KR165">
            <v>0</v>
          </cell>
          <cell r="KS165">
            <v>89.1</v>
          </cell>
          <cell r="KT165">
            <v>2.1999999999999997</v>
          </cell>
          <cell r="KU165">
            <v>3.8</v>
          </cell>
          <cell r="KV165">
            <v>3.3000000000000003</v>
          </cell>
          <cell r="KW165">
            <v>1.6</v>
          </cell>
          <cell r="KX165">
            <v>0</v>
          </cell>
          <cell r="KY165"/>
          <cell r="KZ165"/>
          <cell r="LA165"/>
          <cell r="LB165"/>
          <cell r="LC165"/>
          <cell r="LD165"/>
          <cell r="LE165"/>
          <cell r="LF165"/>
          <cell r="LG165"/>
          <cell r="LH165"/>
          <cell r="LI165"/>
          <cell r="LJ165"/>
          <cell r="LK165"/>
          <cell r="LL165"/>
          <cell r="LM165"/>
          <cell r="LN165"/>
          <cell r="LO165"/>
        </row>
        <row r="166">
          <cell r="A166" t="str">
            <v>3EU2</v>
          </cell>
          <cell r="B166" t="str">
            <v>166</v>
          </cell>
          <cell r="C166" t="str">
            <v>NAF 4</v>
          </cell>
          <cell r="D166" t="str">
            <v>EU2</v>
          </cell>
          <cell r="E166" t="str">
            <v>3</v>
          </cell>
          <cell r="F166">
            <v>0</v>
          </cell>
          <cell r="G166" t="str">
            <v>nd</v>
          </cell>
          <cell r="H166">
            <v>22.400000000000002</v>
          </cell>
          <cell r="I166">
            <v>66.7</v>
          </cell>
          <cell r="J166">
            <v>9.3000000000000007</v>
          </cell>
          <cell r="K166">
            <v>45.800000000000004</v>
          </cell>
          <cell r="L166">
            <v>17.899999999999999</v>
          </cell>
          <cell r="M166">
            <v>30</v>
          </cell>
          <cell r="N166" t="str">
            <v>nd</v>
          </cell>
          <cell r="O166">
            <v>19.400000000000002</v>
          </cell>
          <cell r="P166">
            <v>28.000000000000004</v>
          </cell>
          <cell r="Q166">
            <v>20.5</v>
          </cell>
          <cell r="R166">
            <v>5.4</v>
          </cell>
          <cell r="S166">
            <v>23.1</v>
          </cell>
          <cell r="T166">
            <v>23.200000000000003</v>
          </cell>
          <cell r="U166">
            <v>2.1999999999999997</v>
          </cell>
          <cell r="V166">
            <v>17.299999999999997</v>
          </cell>
          <cell r="W166">
            <v>12.6</v>
          </cell>
          <cell r="X166">
            <v>81.100000000000009</v>
          </cell>
          <cell r="Y166">
            <v>6.2</v>
          </cell>
          <cell r="Z166" t="str">
            <v>nd</v>
          </cell>
          <cell r="AA166">
            <v>51.6</v>
          </cell>
          <cell r="AB166">
            <v>0</v>
          </cell>
          <cell r="AC166">
            <v>25.4</v>
          </cell>
          <cell r="AD166">
            <v>38.1</v>
          </cell>
          <cell r="AE166">
            <v>48.9</v>
          </cell>
          <cell r="AF166">
            <v>51.1</v>
          </cell>
          <cell r="AG166">
            <v>77.900000000000006</v>
          </cell>
          <cell r="AH166">
            <v>22.1</v>
          </cell>
          <cell r="AI166">
            <v>34</v>
          </cell>
          <cell r="AJ166" t="str">
            <v>nd</v>
          </cell>
          <cell r="AK166">
            <v>7.3</v>
          </cell>
          <cell r="AL166">
            <v>53.1</v>
          </cell>
          <cell r="AM166" t="str">
            <v>nd</v>
          </cell>
          <cell r="AN166">
            <v>3.5000000000000004</v>
          </cell>
          <cell r="AO166">
            <v>9.4</v>
          </cell>
          <cell r="AP166" t="str">
            <v>nd</v>
          </cell>
          <cell r="AQ166">
            <v>80.600000000000009</v>
          </cell>
          <cell r="AR166" t="str">
            <v>nd</v>
          </cell>
          <cell r="AS166">
            <v>87.1</v>
          </cell>
          <cell r="AT166">
            <v>5.8999999999999995</v>
          </cell>
          <cell r="AU166" t="str">
            <v>nd</v>
          </cell>
          <cell r="AV166" t="str">
            <v>nd</v>
          </cell>
          <cell r="AW166" t="str">
            <v>nd</v>
          </cell>
          <cell r="AX166">
            <v>2.1999999999999997</v>
          </cell>
          <cell r="AY166" t="str">
            <v>nd</v>
          </cell>
          <cell r="AZ166" t="str">
            <v>nd</v>
          </cell>
          <cell r="BA166" t="str">
            <v>nd</v>
          </cell>
          <cell r="BB166">
            <v>5.0999999999999996</v>
          </cell>
          <cell r="BC166">
            <v>36.9</v>
          </cell>
          <cell r="BD166">
            <v>52.300000000000004</v>
          </cell>
          <cell r="BE166">
            <v>0</v>
          </cell>
          <cell r="BF166">
            <v>0</v>
          </cell>
          <cell r="BG166">
            <v>0</v>
          </cell>
          <cell r="BH166">
            <v>4.3</v>
          </cell>
          <cell r="BI166">
            <v>28.599999999999998</v>
          </cell>
          <cell r="BJ166">
            <v>67.100000000000009</v>
          </cell>
          <cell r="BK166">
            <v>0</v>
          </cell>
          <cell r="BL166">
            <v>0</v>
          </cell>
          <cell r="BM166">
            <v>0</v>
          </cell>
          <cell r="BN166" t="str">
            <v>nd</v>
          </cell>
          <cell r="BO166">
            <v>72.8</v>
          </cell>
          <cell r="BP166">
            <v>26.200000000000003</v>
          </cell>
          <cell r="BQ166">
            <v>0</v>
          </cell>
          <cell r="BR166">
            <v>0</v>
          </cell>
          <cell r="BS166">
            <v>0</v>
          </cell>
          <cell r="BT166">
            <v>2.9000000000000004</v>
          </cell>
          <cell r="BU166">
            <v>49</v>
          </cell>
          <cell r="BV166">
            <v>48.199999999999996</v>
          </cell>
          <cell r="BW166">
            <v>0</v>
          </cell>
          <cell r="BX166">
            <v>0</v>
          </cell>
          <cell r="BY166">
            <v>0</v>
          </cell>
          <cell r="BZ166">
            <v>0</v>
          </cell>
          <cell r="CA166" t="str">
            <v>nd</v>
          </cell>
          <cell r="CB166">
            <v>97.3</v>
          </cell>
          <cell r="CC166">
            <v>10.9</v>
          </cell>
          <cell r="CD166">
            <v>10.9</v>
          </cell>
          <cell r="CE166" t="str">
            <v>nd</v>
          </cell>
          <cell r="CF166">
            <v>4.5999999999999996</v>
          </cell>
          <cell r="CG166">
            <v>0</v>
          </cell>
          <cell r="CH166">
            <v>22.2</v>
          </cell>
          <cell r="CI166">
            <v>8.6999999999999993</v>
          </cell>
          <cell r="CJ166">
            <v>68</v>
          </cell>
          <cell r="CK166">
            <v>37.200000000000003</v>
          </cell>
          <cell r="CL166" t="str">
            <v>nd</v>
          </cell>
          <cell r="CM166" t="str">
            <v>nd</v>
          </cell>
          <cell r="CN166" t="str">
            <v>nd</v>
          </cell>
          <cell r="CO166">
            <v>61.9</v>
          </cell>
          <cell r="CP166">
            <v>5.8999999999999995</v>
          </cell>
          <cell r="CQ166">
            <v>44.2</v>
          </cell>
          <cell r="CR166">
            <v>24</v>
          </cell>
          <cell r="CS166">
            <v>25.900000000000002</v>
          </cell>
          <cell r="CT166">
            <v>6.4</v>
          </cell>
          <cell r="CU166">
            <v>93.600000000000009</v>
          </cell>
          <cell r="CV166">
            <v>7.1999999999999993</v>
          </cell>
          <cell r="CW166">
            <v>92.800000000000011</v>
          </cell>
          <cell r="CX166">
            <v>6.3</v>
          </cell>
          <cell r="CY166">
            <v>22.3</v>
          </cell>
          <cell r="CZ166">
            <v>71.399999999999991</v>
          </cell>
          <cell r="DA166">
            <v>0</v>
          </cell>
          <cell r="DB166">
            <v>0</v>
          </cell>
          <cell r="DC166" t="str">
            <v>nd</v>
          </cell>
          <cell r="DD166">
            <v>0</v>
          </cell>
          <cell r="DE166">
            <v>86.5</v>
          </cell>
          <cell r="DF166">
            <v>20.8</v>
          </cell>
          <cell r="DG166">
            <v>14.2</v>
          </cell>
          <cell r="DH166">
            <v>21.2</v>
          </cell>
          <cell r="DI166">
            <v>12.6</v>
          </cell>
          <cell r="DJ166">
            <v>13.100000000000001</v>
          </cell>
          <cell r="DK166">
            <v>18.099999999999998</v>
          </cell>
          <cell r="DL166">
            <v>24.8</v>
          </cell>
          <cell r="DM166">
            <v>27.500000000000004</v>
          </cell>
          <cell r="DN166">
            <v>6.1</v>
          </cell>
          <cell r="DO166">
            <v>33.300000000000004</v>
          </cell>
          <cell r="DP166">
            <v>3.4000000000000004</v>
          </cell>
          <cell r="DQ166">
            <v>0</v>
          </cell>
          <cell r="DR166">
            <v>16.600000000000001</v>
          </cell>
          <cell r="DS166">
            <v>18.600000000000001</v>
          </cell>
          <cell r="DT166">
            <v>9.6</v>
          </cell>
          <cell r="DU166">
            <v>0</v>
          </cell>
          <cell r="DV166">
            <v>0</v>
          </cell>
          <cell r="DW166">
            <v>0</v>
          </cell>
          <cell r="DX166">
            <v>0</v>
          </cell>
          <cell r="DY166">
            <v>0</v>
          </cell>
          <cell r="DZ166" t="str">
            <v>nd</v>
          </cell>
          <cell r="EA166" t="str">
            <v>nd</v>
          </cell>
          <cell r="EB166">
            <v>0</v>
          </cell>
          <cell r="EC166">
            <v>0</v>
          </cell>
          <cell r="ED166">
            <v>0</v>
          </cell>
          <cell r="EE166">
            <v>0</v>
          </cell>
          <cell r="EF166">
            <v>15.8291912</v>
          </cell>
          <cell r="EG166" t="str">
            <v>nd</v>
          </cell>
          <cell r="EH166" t="str">
            <v>nd</v>
          </cell>
          <cell r="EI166" t="str">
            <v>nd</v>
          </cell>
          <cell r="EJ166">
            <v>0</v>
          </cell>
          <cell r="EK166" t="str">
            <v>nd</v>
          </cell>
          <cell r="EL166">
            <v>64.184443799999997</v>
          </cell>
          <cell r="EM166" t="str">
            <v>nd</v>
          </cell>
          <cell r="EN166">
            <v>0</v>
          </cell>
          <cell r="EO166">
            <v>0</v>
          </cell>
          <cell r="EP166" t="str">
            <v>nd</v>
          </cell>
          <cell r="EQ166" t="str">
            <v>nd</v>
          </cell>
          <cell r="ER166">
            <v>5.82517</v>
          </cell>
          <cell r="ES166" t="str">
            <v>nd</v>
          </cell>
          <cell r="ET166">
            <v>0</v>
          </cell>
          <cell r="EU166">
            <v>0</v>
          </cell>
          <cell r="EV166" t="str">
            <v>nd</v>
          </cell>
          <cell r="EW166" t="str">
            <v>nd</v>
          </cell>
          <cell r="EX166">
            <v>0</v>
          </cell>
          <cell r="EY166">
            <v>0</v>
          </cell>
          <cell r="EZ166">
            <v>0</v>
          </cell>
          <cell r="FA166">
            <v>0</v>
          </cell>
          <cell r="FB166">
            <v>0</v>
          </cell>
          <cell r="FC166">
            <v>0</v>
          </cell>
          <cell r="FD166">
            <v>0</v>
          </cell>
          <cell r="FE166">
            <v>0</v>
          </cell>
          <cell r="FF166">
            <v>0</v>
          </cell>
          <cell r="FG166" t="str">
            <v>nd</v>
          </cell>
          <cell r="FH166">
            <v>0</v>
          </cell>
          <cell r="FI166">
            <v>0</v>
          </cell>
          <cell r="FJ166" t="str">
            <v>nd</v>
          </cell>
          <cell r="FK166" t="str">
            <v>nd</v>
          </cell>
          <cell r="FL166" t="str">
            <v>nd</v>
          </cell>
          <cell r="FM166">
            <v>10.8500067</v>
          </cell>
          <cell r="FN166">
            <v>5.9225399999999997</v>
          </cell>
          <cell r="FO166" t="str">
            <v>nd</v>
          </cell>
          <cell r="FP166">
            <v>0</v>
          </cell>
          <cell r="FQ166">
            <v>0</v>
          </cell>
          <cell r="FR166" t="str">
            <v>nd</v>
          </cell>
          <cell r="FS166">
            <v>23.129657099999999</v>
          </cell>
          <cell r="FT166">
            <v>39.480932899999999</v>
          </cell>
          <cell r="FU166">
            <v>0</v>
          </cell>
          <cell r="FV166">
            <v>0</v>
          </cell>
          <cell r="FW166">
            <v>0</v>
          </cell>
          <cell r="FX166" t="str">
            <v>nd</v>
          </cell>
          <cell r="FY166" t="str">
            <v>nd</v>
          </cell>
          <cell r="FZ166">
            <v>6.9255225000000005</v>
          </cell>
          <cell r="GA166">
            <v>0</v>
          </cell>
          <cell r="GB166">
            <v>0</v>
          </cell>
          <cell r="GC166">
            <v>0</v>
          </cell>
          <cell r="GD166">
            <v>0</v>
          </cell>
          <cell r="GE166">
            <v>0</v>
          </cell>
          <cell r="GF166">
            <v>0</v>
          </cell>
          <cell r="GG166">
            <v>0</v>
          </cell>
          <cell r="GH166">
            <v>0</v>
          </cell>
          <cell r="GI166">
            <v>0</v>
          </cell>
          <cell r="GJ166" t="str">
            <v>nd</v>
          </cell>
          <cell r="GK166" t="str">
            <v>nd</v>
          </cell>
          <cell r="GL166">
            <v>0</v>
          </cell>
          <cell r="GM166">
            <v>0</v>
          </cell>
          <cell r="GN166">
            <v>0</v>
          </cell>
          <cell r="GO166">
            <v>4.2677100000000001</v>
          </cell>
          <cell r="GP166">
            <v>12.578350299999999</v>
          </cell>
          <cell r="GQ166">
            <v>6.4007064000000007</v>
          </cell>
          <cell r="GR166">
            <v>0</v>
          </cell>
          <cell r="GS166">
            <v>0</v>
          </cell>
          <cell r="GT166">
            <v>0</v>
          </cell>
          <cell r="GU166">
            <v>0</v>
          </cell>
          <cell r="GV166">
            <v>11.1843699</v>
          </cell>
          <cell r="GW166">
            <v>53.822532899999999</v>
          </cell>
          <cell r="GX166">
            <v>0</v>
          </cell>
          <cell r="GY166">
            <v>0</v>
          </cell>
          <cell r="GZ166">
            <v>0</v>
          </cell>
          <cell r="HA166">
            <v>0</v>
          </cell>
          <cell r="HB166">
            <v>4.5540099999999999</v>
          </cell>
          <cell r="HC166">
            <v>5.6059999999999999</v>
          </cell>
          <cell r="HD166">
            <v>0</v>
          </cell>
          <cell r="HE166">
            <v>0</v>
          </cell>
          <cell r="HF166">
            <v>0</v>
          </cell>
          <cell r="HG166">
            <v>0</v>
          </cell>
          <cell r="HH166">
            <v>0</v>
          </cell>
          <cell r="HI166">
            <v>0</v>
          </cell>
          <cell r="HJ166">
            <v>0</v>
          </cell>
          <cell r="HK166">
            <v>0</v>
          </cell>
          <cell r="HL166">
            <v>0</v>
          </cell>
          <cell r="HM166" t="str">
            <v>nd</v>
          </cell>
          <cell r="HN166" t="str">
            <v>nd</v>
          </cell>
          <cell r="HO166">
            <v>0</v>
          </cell>
          <cell r="HP166">
            <v>0</v>
          </cell>
          <cell r="HQ166">
            <v>0</v>
          </cell>
          <cell r="HR166" t="str">
            <v>nd</v>
          </cell>
          <cell r="HS166">
            <v>18.642826200000002</v>
          </cell>
          <cell r="HT166">
            <v>3.5882699999999996</v>
          </cell>
          <cell r="HU166">
            <v>0</v>
          </cell>
          <cell r="HV166">
            <v>0</v>
          </cell>
          <cell r="HW166">
            <v>0</v>
          </cell>
          <cell r="HX166" t="str">
            <v>nd</v>
          </cell>
          <cell r="HY166">
            <v>45.197682499999999</v>
          </cell>
          <cell r="HZ166">
            <v>20.179308800000001</v>
          </cell>
          <cell r="IA166">
            <v>0</v>
          </cell>
          <cell r="IB166">
            <v>0</v>
          </cell>
          <cell r="IC166">
            <v>0</v>
          </cell>
          <cell r="ID166">
            <v>0</v>
          </cell>
          <cell r="IE166">
            <v>7.6252845000000002</v>
          </cell>
          <cell r="IF166" t="str">
            <v>nd</v>
          </cell>
          <cell r="IG166">
            <v>0</v>
          </cell>
          <cell r="IH166">
            <v>0</v>
          </cell>
          <cell r="II166">
            <v>0</v>
          </cell>
          <cell r="IJ166">
            <v>0</v>
          </cell>
          <cell r="IK166">
            <v>0</v>
          </cell>
          <cell r="IL166">
            <v>0</v>
          </cell>
          <cell r="IM166">
            <v>0</v>
          </cell>
          <cell r="IN166">
            <v>0</v>
          </cell>
          <cell r="IO166" t="str">
            <v>nd</v>
          </cell>
          <cell r="IP166">
            <v>0</v>
          </cell>
          <cell r="IQ166" t="str">
            <v>nd</v>
          </cell>
          <cell r="IR166">
            <v>0</v>
          </cell>
          <cell r="IS166">
            <v>0</v>
          </cell>
          <cell r="IT166">
            <v>0</v>
          </cell>
          <cell r="IU166" t="str">
            <v>nd</v>
          </cell>
          <cell r="IV166">
            <v>16.435322299999999</v>
          </cell>
          <cell r="IW166">
            <v>4.79779</v>
          </cell>
          <cell r="IX166">
            <v>0</v>
          </cell>
          <cell r="IY166">
            <v>0</v>
          </cell>
          <cell r="IZ166">
            <v>0</v>
          </cell>
          <cell r="JA166">
            <v>0</v>
          </cell>
          <cell r="JB166">
            <v>26.998602100000003</v>
          </cell>
          <cell r="JC166">
            <v>38.817009900000002</v>
          </cell>
          <cell r="JD166">
            <v>0</v>
          </cell>
          <cell r="JE166">
            <v>0</v>
          </cell>
          <cell r="JF166">
            <v>0</v>
          </cell>
          <cell r="JG166">
            <v>0</v>
          </cell>
          <cell r="JH166">
            <v>5.5254699999999994</v>
          </cell>
          <cell r="JI166">
            <v>4.27799</v>
          </cell>
          <cell r="JJ166">
            <v>0</v>
          </cell>
          <cell r="JK166">
            <v>0</v>
          </cell>
          <cell r="JL166">
            <v>0</v>
          </cell>
          <cell r="JM166">
            <v>0</v>
          </cell>
          <cell r="JN166">
            <v>0</v>
          </cell>
          <cell r="JO166">
            <v>0</v>
          </cell>
          <cell r="JP166">
            <v>0</v>
          </cell>
          <cell r="JQ166">
            <v>0</v>
          </cell>
          <cell r="JR166">
            <v>0</v>
          </cell>
          <cell r="JS166">
            <v>0</v>
          </cell>
          <cell r="JT166" t="str">
            <v>nd</v>
          </cell>
          <cell r="JU166">
            <v>0</v>
          </cell>
          <cell r="JV166">
            <v>0</v>
          </cell>
          <cell r="JW166">
            <v>0</v>
          </cell>
          <cell r="JX166">
            <v>0</v>
          </cell>
          <cell r="JY166">
            <v>0</v>
          </cell>
          <cell r="JZ166">
            <v>22.6325048</v>
          </cell>
          <cell r="KA166">
            <v>0</v>
          </cell>
          <cell r="KB166">
            <v>0</v>
          </cell>
          <cell r="KC166">
            <v>0</v>
          </cell>
          <cell r="KD166">
            <v>0</v>
          </cell>
          <cell r="KE166" t="str">
            <v>nd</v>
          </cell>
          <cell r="KF166">
            <v>62.841864199999996</v>
          </cell>
          <cell r="KG166">
            <v>0</v>
          </cell>
          <cell r="KH166">
            <v>0</v>
          </cell>
          <cell r="KI166">
            <v>0</v>
          </cell>
          <cell r="KJ166">
            <v>0</v>
          </cell>
          <cell r="KK166">
            <v>0</v>
          </cell>
          <cell r="KL166">
            <v>10.172663</v>
          </cell>
          <cell r="KM166">
            <v>83.7</v>
          </cell>
          <cell r="KN166">
            <v>5.8999999999999995</v>
          </cell>
          <cell r="KO166">
            <v>2.2999999999999998</v>
          </cell>
          <cell r="KP166">
            <v>4.3</v>
          </cell>
          <cell r="KQ166">
            <v>3.6999999999999997</v>
          </cell>
          <cell r="KR166">
            <v>0.1</v>
          </cell>
          <cell r="KS166">
            <v>82.899999999999991</v>
          </cell>
          <cell r="KT166">
            <v>6.1</v>
          </cell>
          <cell r="KU166">
            <v>2.7</v>
          </cell>
          <cell r="KV166">
            <v>4.3</v>
          </cell>
          <cell r="KW166">
            <v>3.9</v>
          </cell>
          <cell r="KX166">
            <v>0.1</v>
          </cell>
          <cell r="KY166"/>
          <cell r="KZ166"/>
          <cell r="LA166"/>
          <cell r="LB166"/>
          <cell r="LC166"/>
          <cell r="LD166"/>
          <cell r="LE166"/>
          <cell r="LF166"/>
          <cell r="LG166"/>
          <cell r="LH166"/>
          <cell r="LI166"/>
          <cell r="LJ166"/>
          <cell r="LK166"/>
          <cell r="LL166"/>
          <cell r="LM166"/>
          <cell r="LN166"/>
          <cell r="LO166"/>
        </row>
        <row r="167">
          <cell r="A167" t="str">
            <v>4EU2</v>
          </cell>
          <cell r="B167" t="str">
            <v>167</v>
          </cell>
          <cell r="C167" t="str">
            <v>NAF 4</v>
          </cell>
          <cell r="D167" t="str">
            <v>EU2</v>
          </cell>
          <cell r="E167" t="str">
            <v>4</v>
          </cell>
          <cell r="F167">
            <v>0</v>
          </cell>
          <cell r="G167">
            <v>4.1000000000000005</v>
          </cell>
          <cell r="H167">
            <v>25.5</v>
          </cell>
          <cell r="I167">
            <v>51.6</v>
          </cell>
          <cell r="J167">
            <v>18.8</v>
          </cell>
          <cell r="K167">
            <v>44.9</v>
          </cell>
          <cell r="L167">
            <v>30.099999999999998</v>
          </cell>
          <cell r="M167">
            <v>11.1</v>
          </cell>
          <cell r="N167">
            <v>13.900000000000002</v>
          </cell>
          <cell r="O167">
            <v>33.300000000000004</v>
          </cell>
          <cell r="P167">
            <v>21.099999999999998</v>
          </cell>
          <cell r="Q167">
            <v>12.1</v>
          </cell>
          <cell r="R167">
            <v>7.7</v>
          </cell>
          <cell r="S167">
            <v>22.2</v>
          </cell>
          <cell r="T167">
            <v>34.200000000000003</v>
          </cell>
          <cell r="U167">
            <v>10.8</v>
          </cell>
          <cell r="V167">
            <v>13.3</v>
          </cell>
          <cell r="W167">
            <v>6.1</v>
          </cell>
          <cell r="X167">
            <v>87.1</v>
          </cell>
          <cell r="Y167">
            <v>6.8000000000000007</v>
          </cell>
          <cell r="Z167">
            <v>0</v>
          </cell>
          <cell r="AA167" t="str">
            <v>nd</v>
          </cell>
          <cell r="AB167" t="str">
            <v>nd</v>
          </cell>
          <cell r="AC167">
            <v>83.7</v>
          </cell>
          <cell r="AD167" t="str">
            <v>nd</v>
          </cell>
          <cell r="AE167">
            <v>60.699999999999996</v>
          </cell>
          <cell r="AF167">
            <v>39.300000000000004</v>
          </cell>
          <cell r="AG167">
            <v>81.599999999999994</v>
          </cell>
          <cell r="AH167">
            <v>18.399999999999999</v>
          </cell>
          <cell r="AI167">
            <v>35.4</v>
          </cell>
          <cell r="AJ167">
            <v>6.4</v>
          </cell>
          <cell r="AK167">
            <v>3.9</v>
          </cell>
          <cell r="AL167">
            <v>43.6</v>
          </cell>
          <cell r="AM167">
            <v>10.7</v>
          </cell>
          <cell r="AN167" t="str">
            <v>nd</v>
          </cell>
          <cell r="AO167">
            <v>4.9000000000000004</v>
          </cell>
          <cell r="AP167" t="str">
            <v>nd</v>
          </cell>
          <cell r="AQ167">
            <v>88.1</v>
          </cell>
          <cell r="AR167">
            <v>2</v>
          </cell>
          <cell r="AS167">
            <v>81.3</v>
          </cell>
          <cell r="AT167">
            <v>9.6</v>
          </cell>
          <cell r="AU167">
            <v>4.2</v>
          </cell>
          <cell r="AV167" t="str">
            <v>nd</v>
          </cell>
          <cell r="AW167" t="str">
            <v>nd</v>
          </cell>
          <cell r="AX167" t="str">
            <v>nd</v>
          </cell>
          <cell r="AY167">
            <v>0</v>
          </cell>
          <cell r="AZ167" t="str">
            <v>nd</v>
          </cell>
          <cell r="BA167" t="str">
            <v>nd</v>
          </cell>
          <cell r="BB167">
            <v>15</v>
          </cell>
          <cell r="BC167">
            <v>38.4</v>
          </cell>
          <cell r="BD167">
            <v>42.9</v>
          </cell>
          <cell r="BE167">
            <v>0</v>
          </cell>
          <cell r="BF167">
            <v>0</v>
          </cell>
          <cell r="BG167" t="str">
            <v>nd</v>
          </cell>
          <cell r="BH167">
            <v>4.2</v>
          </cell>
          <cell r="BI167">
            <v>44.6</v>
          </cell>
          <cell r="BJ167">
            <v>49.7</v>
          </cell>
          <cell r="BK167">
            <v>0</v>
          </cell>
          <cell r="BL167">
            <v>0</v>
          </cell>
          <cell r="BM167">
            <v>0</v>
          </cell>
          <cell r="BN167">
            <v>6.2</v>
          </cell>
          <cell r="BO167">
            <v>78.7</v>
          </cell>
          <cell r="BP167">
            <v>15.1</v>
          </cell>
          <cell r="BQ167">
            <v>0</v>
          </cell>
          <cell r="BR167">
            <v>0</v>
          </cell>
          <cell r="BS167" t="str">
            <v>nd</v>
          </cell>
          <cell r="BT167" t="str">
            <v>nd</v>
          </cell>
          <cell r="BU167">
            <v>52.900000000000006</v>
          </cell>
          <cell r="BV167">
            <v>42.699999999999996</v>
          </cell>
          <cell r="BW167">
            <v>0</v>
          </cell>
          <cell r="BX167">
            <v>0</v>
          </cell>
          <cell r="BY167">
            <v>0</v>
          </cell>
          <cell r="BZ167">
            <v>0</v>
          </cell>
          <cell r="CA167">
            <v>3.1</v>
          </cell>
          <cell r="CB167">
            <v>96.899999999999991</v>
          </cell>
          <cell r="CC167">
            <v>6</v>
          </cell>
          <cell r="CD167">
            <v>14.499999999999998</v>
          </cell>
          <cell r="CE167">
            <v>6.6000000000000005</v>
          </cell>
          <cell r="CF167">
            <v>9.3000000000000007</v>
          </cell>
          <cell r="CG167" t="str">
            <v>nd</v>
          </cell>
          <cell r="CH167">
            <v>22.2</v>
          </cell>
          <cell r="CI167">
            <v>10.4</v>
          </cell>
          <cell r="CJ167">
            <v>67.300000000000011</v>
          </cell>
          <cell r="CK167">
            <v>44</v>
          </cell>
          <cell r="CL167" t="str">
            <v>nd</v>
          </cell>
          <cell r="CM167" t="str">
            <v>nd</v>
          </cell>
          <cell r="CN167" t="str">
            <v>nd</v>
          </cell>
          <cell r="CO167">
            <v>55.900000000000006</v>
          </cell>
          <cell r="CP167">
            <v>5.8999999999999995</v>
          </cell>
          <cell r="CQ167">
            <v>43.5</v>
          </cell>
          <cell r="CR167">
            <v>23.9</v>
          </cell>
          <cell r="CS167">
            <v>26.700000000000003</v>
          </cell>
          <cell r="CT167">
            <v>9.6</v>
          </cell>
          <cell r="CU167">
            <v>90.4</v>
          </cell>
          <cell r="CV167">
            <v>10.8</v>
          </cell>
          <cell r="CW167">
            <v>89.2</v>
          </cell>
          <cell r="CX167">
            <v>16.8</v>
          </cell>
          <cell r="CY167">
            <v>20.9</v>
          </cell>
          <cell r="CZ167">
            <v>62.3</v>
          </cell>
          <cell r="DA167">
            <v>39.700000000000003</v>
          </cell>
          <cell r="DB167">
            <v>0</v>
          </cell>
          <cell r="DC167">
            <v>0</v>
          </cell>
          <cell r="DD167">
            <v>0</v>
          </cell>
          <cell r="DE167">
            <v>60.3</v>
          </cell>
          <cell r="DF167">
            <v>17.100000000000001</v>
          </cell>
          <cell r="DG167">
            <v>13.3</v>
          </cell>
          <cell r="DH167">
            <v>15.5</v>
          </cell>
          <cell r="DI167">
            <v>15</v>
          </cell>
          <cell r="DJ167">
            <v>24.7</v>
          </cell>
          <cell r="DK167">
            <v>14.399999999999999</v>
          </cell>
          <cell r="DL167">
            <v>25.3</v>
          </cell>
          <cell r="DM167">
            <v>41.4</v>
          </cell>
          <cell r="DN167">
            <v>2.1999999999999997</v>
          </cell>
          <cell r="DO167">
            <v>22.400000000000002</v>
          </cell>
          <cell r="DP167">
            <v>6.1</v>
          </cell>
          <cell r="DQ167" t="str">
            <v>nd</v>
          </cell>
          <cell r="DR167">
            <v>6.9</v>
          </cell>
          <cell r="DS167">
            <v>7.6</v>
          </cell>
          <cell r="DT167">
            <v>17.5</v>
          </cell>
          <cell r="DU167">
            <v>0</v>
          </cell>
          <cell r="DV167">
            <v>0</v>
          </cell>
          <cell r="DW167">
            <v>0</v>
          </cell>
          <cell r="DX167">
            <v>0</v>
          </cell>
          <cell r="DY167">
            <v>0</v>
          </cell>
          <cell r="DZ167" t="str">
            <v>nd</v>
          </cell>
          <cell r="EA167">
            <v>0</v>
          </cell>
          <cell r="EB167" t="str">
            <v>nd</v>
          </cell>
          <cell r="EC167">
            <v>0</v>
          </cell>
          <cell r="ED167">
            <v>0</v>
          </cell>
          <cell r="EE167">
            <v>0</v>
          </cell>
          <cell r="EF167">
            <v>16.649100399999998</v>
          </cell>
          <cell r="EG167">
            <v>5.4546000000000001</v>
          </cell>
          <cell r="EH167">
            <v>2.6962199999999998</v>
          </cell>
          <cell r="EI167">
            <v>0</v>
          </cell>
          <cell r="EJ167" t="str">
            <v>nd</v>
          </cell>
          <cell r="EK167">
            <v>0</v>
          </cell>
          <cell r="EL167">
            <v>48.047394699999998</v>
          </cell>
          <cell r="EM167">
            <v>2.9447999999999999</v>
          </cell>
          <cell r="EN167">
            <v>0</v>
          </cell>
          <cell r="EO167">
            <v>0</v>
          </cell>
          <cell r="EP167">
            <v>0</v>
          </cell>
          <cell r="EQ167" t="str">
            <v>nd</v>
          </cell>
          <cell r="ER167">
            <v>13.096689100000001</v>
          </cell>
          <cell r="ES167" t="str">
            <v>nd</v>
          </cell>
          <cell r="ET167">
            <v>0</v>
          </cell>
          <cell r="EU167" t="str">
            <v>nd</v>
          </cell>
          <cell r="EV167">
            <v>0</v>
          </cell>
          <cell r="EW167" t="str">
            <v>nd</v>
          </cell>
          <cell r="EX167">
            <v>0</v>
          </cell>
          <cell r="EY167">
            <v>0</v>
          </cell>
          <cell r="EZ167">
            <v>0</v>
          </cell>
          <cell r="FA167">
            <v>0</v>
          </cell>
          <cell r="FB167">
            <v>0</v>
          </cell>
          <cell r="FC167">
            <v>0</v>
          </cell>
          <cell r="FD167">
            <v>0</v>
          </cell>
          <cell r="FE167">
            <v>0</v>
          </cell>
          <cell r="FF167" t="str">
            <v>nd</v>
          </cell>
          <cell r="FG167" t="str">
            <v>nd</v>
          </cell>
          <cell r="FH167">
            <v>0</v>
          </cell>
          <cell r="FI167">
            <v>0</v>
          </cell>
          <cell r="FJ167">
            <v>0</v>
          </cell>
          <cell r="FK167">
            <v>0</v>
          </cell>
          <cell r="FL167">
            <v>7.5251955999999991</v>
          </cell>
          <cell r="FM167">
            <v>10.658352300000001</v>
          </cell>
          <cell r="FN167">
            <v>6.7349450000000006</v>
          </cell>
          <cell r="FO167">
            <v>0</v>
          </cell>
          <cell r="FP167">
            <v>0</v>
          </cell>
          <cell r="FQ167" t="str">
            <v>nd</v>
          </cell>
          <cell r="FR167" t="str">
            <v>nd</v>
          </cell>
          <cell r="FS167">
            <v>20.724149699999998</v>
          </cell>
          <cell r="FT167">
            <v>27.261960699999999</v>
          </cell>
          <cell r="FU167">
            <v>0</v>
          </cell>
          <cell r="FV167" t="str">
            <v>nd</v>
          </cell>
          <cell r="FW167">
            <v>0</v>
          </cell>
          <cell r="FX167" t="str">
            <v>nd</v>
          </cell>
          <cell r="FY167">
            <v>5.9775700000000001</v>
          </cell>
          <cell r="FZ167">
            <v>8.9127007999999996</v>
          </cell>
          <cell r="GA167">
            <v>0</v>
          </cell>
          <cell r="GB167">
            <v>0</v>
          </cell>
          <cell r="GC167">
            <v>0</v>
          </cell>
          <cell r="GD167">
            <v>0</v>
          </cell>
          <cell r="GE167">
            <v>0</v>
          </cell>
          <cell r="GF167">
            <v>0</v>
          </cell>
          <cell r="GG167">
            <v>0</v>
          </cell>
          <cell r="GH167" t="str">
            <v>nd</v>
          </cell>
          <cell r="GI167">
            <v>0</v>
          </cell>
          <cell r="GJ167" t="str">
            <v>nd</v>
          </cell>
          <cell r="GK167">
            <v>0</v>
          </cell>
          <cell r="GL167">
            <v>0</v>
          </cell>
          <cell r="GM167">
            <v>0</v>
          </cell>
          <cell r="GN167">
            <v>0</v>
          </cell>
          <cell r="GO167" t="str">
            <v>nd</v>
          </cell>
          <cell r="GP167">
            <v>12.645422400000001</v>
          </cell>
          <cell r="GQ167">
            <v>9.5116607000000002</v>
          </cell>
          <cell r="GR167">
            <v>0</v>
          </cell>
          <cell r="GS167">
            <v>0</v>
          </cell>
          <cell r="GT167">
            <v>0</v>
          </cell>
          <cell r="GU167">
            <v>0</v>
          </cell>
          <cell r="GV167">
            <v>21.873425899999997</v>
          </cell>
          <cell r="GW167">
            <v>28.425753199999999</v>
          </cell>
          <cell r="GX167">
            <v>0</v>
          </cell>
          <cell r="GY167">
            <v>0</v>
          </cell>
          <cell r="GZ167">
            <v>0</v>
          </cell>
          <cell r="HA167" t="str">
            <v>nd</v>
          </cell>
          <cell r="HB167">
            <v>6.5437850000000006</v>
          </cell>
          <cell r="HC167">
            <v>11.8024775</v>
          </cell>
          <cell r="HD167">
            <v>0</v>
          </cell>
          <cell r="HE167">
            <v>0</v>
          </cell>
          <cell r="HF167">
            <v>0</v>
          </cell>
          <cell r="HG167">
            <v>0</v>
          </cell>
          <cell r="HH167">
            <v>0</v>
          </cell>
          <cell r="HI167">
            <v>0</v>
          </cell>
          <cell r="HJ167">
            <v>0</v>
          </cell>
          <cell r="HK167">
            <v>0</v>
          </cell>
          <cell r="HL167" t="str">
            <v>nd</v>
          </cell>
          <cell r="HM167" t="str">
            <v>nd</v>
          </cell>
          <cell r="HN167">
            <v>0</v>
          </cell>
          <cell r="HO167">
            <v>0</v>
          </cell>
          <cell r="HP167">
            <v>0</v>
          </cell>
          <cell r="HQ167">
            <v>0</v>
          </cell>
          <cell r="HR167" t="str">
            <v>nd</v>
          </cell>
          <cell r="HS167">
            <v>19.614541499999998</v>
          </cell>
          <cell r="HT167">
            <v>3.7848100000000002</v>
          </cell>
          <cell r="HU167">
            <v>0</v>
          </cell>
          <cell r="HV167">
            <v>0</v>
          </cell>
          <cell r="HW167">
            <v>0</v>
          </cell>
          <cell r="HX167" t="str">
            <v>nd</v>
          </cell>
          <cell r="HY167">
            <v>43.002718800000004</v>
          </cell>
          <cell r="HZ167">
            <v>6.2557386000000008</v>
          </cell>
          <cell r="IA167">
            <v>0</v>
          </cell>
          <cell r="IB167">
            <v>0</v>
          </cell>
          <cell r="IC167">
            <v>0</v>
          </cell>
          <cell r="ID167">
            <v>0</v>
          </cell>
          <cell r="IE167">
            <v>14.9973744</v>
          </cell>
          <cell r="IF167">
            <v>5.1249099999999999</v>
          </cell>
          <cell r="IG167">
            <v>0</v>
          </cell>
          <cell r="IH167">
            <v>0</v>
          </cell>
          <cell r="II167">
            <v>0</v>
          </cell>
          <cell r="IJ167">
            <v>0</v>
          </cell>
          <cell r="IK167">
            <v>0</v>
          </cell>
          <cell r="IL167">
            <v>0</v>
          </cell>
          <cell r="IM167">
            <v>0</v>
          </cell>
          <cell r="IN167" t="str">
            <v>nd</v>
          </cell>
          <cell r="IO167" t="str">
            <v>nd</v>
          </cell>
          <cell r="IP167">
            <v>0</v>
          </cell>
          <cell r="IQ167">
            <v>0</v>
          </cell>
          <cell r="IR167">
            <v>0</v>
          </cell>
          <cell r="IS167">
            <v>0</v>
          </cell>
          <cell r="IT167">
            <v>0</v>
          </cell>
          <cell r="IU167">
            <v>0</v>
          </cell>
          <cell r="IV167">
            <v>19.0161005</v>
          </cell>
          <cell r="IW167">
            <v>7.2439131000000003</v>
          </cell>
          <cell r="IX167">
            <v>0</v>
          </cell>
          <cell r="IY167">
            <v>0</v>
          </cell>
          <cell r="IZ167">
            <v>0</v>
          </cell>
          <cell r="JA167" t="str">
            <v>nd</v>
          </cell>
          <cell r="JB167">
            <v>23.081532499999998</v>
          </cell>
          <cell r="JC167">
            <v>27.307650800000001</v>
          </cell>
          <cell r="JD167">
            <v>0</v>
          </cell>
          <cell r="JE167">
            <v>0</v>
          </cell>
          <cell r="JF167">
            <v>0</v>
          </cell>
          <cell r="JG167">
            <v>0</v>
          </cell>
          <cell r="JH167">
            <v>10.782809799999999</v>
          </cell>
          <cell r="JI167">
            <v>8.1749815000000012</v>
          </cell>
          <cell r="JJ167">
            <v>0</v>
          </cell>
          <cell r="JK167">
            <v>0</v>
          </cell>
          <cell r="JL167">
            <v>0</v>
          </cell>
          <cell r="JM167">
            <v>0</v>
          </cell>
          <cell r="JN167">
            <v>0</v>
          </cell>
          <cell r="JO167">
            <v>0</v>
          </cell>
          <cell r="JP167">
            <v>0</v>
          </cell>
          <cell r="JQ167">
            <v>0</v>
          </cell>
          <cell r="JR167">
            <v>0</v>
          </cell>
          <cell r="JS167" t="str">
            <v>nd</v>
          </cell>
          <cell r="JT167" t="str">
            <v>nd</v>
          </cell>
          <cell r="JU167">
            <v>0</v>
          </cell>
          <cell r="JV167">
            <v>0</v>
          </cell>
          <cell r="JW167">
            <v>0</v>
          </cell>
          <cell r="JX167">
            <v>0</v>
          </cell>
          <cell r="JY167" t="str">
            <v>nd</v>
          </cell>
          <cell r="JZ167">
            <v>25.272414599999998</v>
          </cell>
          <cell r="KA167">
            <v>0</v>
          </cell>
          <cell r="KB167">
            <v>0</v>
          </cell>
          <cell r="KC167">
            <v>0</v>
          </cell>
          <cell r="KD167">
            <v>0</v>
          </cell>
          <cell r="KE167">
            <v>0</v>
          </cell>
          <cell r="KF167">
            <v>50.550934900000001</v>
          </cell>
          <cell r="KG167">
            <v>0</v>
          </cell>
          <cell r="KH167">
            <v>0</v>
          </cell>
          <cell r="KI167">
            <v>0</v>
          </cell>
          <cell r="KJ167">
            <v>0</v>
          </cell>
          <cell r="KK167" t="str">
            <v>nd</v>
          </cell>
          <cell r="KL167">
            <v>18.669371900000002</v>
          </cell>
          <cell r="KM167">
            <v>79.900000000000006</v>
          </cell>
          <cell r="KN167">
            <v>7.0000000000000009</v>
          </cell>
          <cell r="KO167">
            <v>3.5000000000000004</v>
          </cell>
          <cell r="KP167">
            <v>5.3</v>
          </cell>
          <cell r="KQ167">
            <v>4.1000000000000005</v>
          </cell>
          <cell r="KR167">
            <v>0.2</v>
          </cell>
          <cell r="KS167">
            <v>78.600000000000009</v>
          </cell>
          <cell r="KT167">
            <v>8</v>
          </cell>
          <cell r="KU167">
            <v>3.5999999999999996</v>
          </cell>
          <cell r="KV167">
            <v>5.6000000000000005</v>
          </cell>
          <cell r="KW167">
            <v>4</v>
          </cell>
          <cell r="KX167">
            <v>0.1</v>
          </cell>
          <cell r="KY167"/>
          <cell r="KZ167"/>
          <cell r="LA167"/>
          <cell r="LB167"/>
          <cell r="LC167"/>
          <cell r="LD167"/>
          <cell r="LE167"/>
          <cell r="LF167"/>
          <cell r="LG167"/>
          <cell r="LH167"/>
          <cell r="LI167"/>
          <cell r="LJ167"/>
          <cell r="LK167"/>
          <cell r="LL167"/>
          <cell r="LM167"/>
          <cell r="LN167"/>
          <cell r="LO167"/>
        </row>
        <row r="168">
          <cell r="A168" t="str">
            <v>5EU2</v>
          </cell>
          <cell r="B168" t="str">
            <v>168</v>
          </cell>
          <cell r="C168" t="str">
            <v>NAF 4</v>
          </cell>
          <cell r="D168" t="str">
            <v>EU2</v>
          </cell>
          <cell r="E168" t="str">
            <v>5</v>
          </cell>
          <cell r="F168">
            <v>0</v>
          </cell>
          <cell r="G168" t="str">
            <v>nd</v>
          </cell>
          <cell r="H168">
            <v>44.5</v>
          </cell>
          <cell r="I168">
            <v>43.3</v>
          </cell>
          <cell r="J168">
            <v>11.3</v>
          </cell>
          <cell r="K168">
            <v>47.4</v>
          </cell>
          <cell r="L168">
            <v>19.600000000000001</v>
          </cell>
          <cell r="M168">
            <v>14.799999999999999</v>
          </cell>
          <cell r="N168">
            <v>18.3</v>
          </cell>
          <cell r="O168">
            <v>29.799999999999997</v>
          </cell>
          <cell r="P168">
            <v>38.5</v>
          </cell>
          <cell r="Q168">
            <v>22.2</v>
          </cell>
          <cell r="R168" t="str">
            <v>nd</v>
          </cell>
          <cell r="S168">
            <v>7.5</v>
          </cell>
          <cell r="T168">
            <v>21.9</v>
          </cell>
          <cell r="U168" t="str">
            <v>nd</v>
          </cell>
          <cell r="V168">
            <v>19.400000000000002</v>
          </cell>
          <cell r="W168">
            <v>9</v>
          </cell>
          <cell r="X168">
            <v>85.7</v>
          </cell>
          <cell r="Y168">
            <v>5.3</v>
          </cell>
          <cell r="Z168">
            <v>0</v>
          </cell>
          <cell r="AA168" t="str">
            <v>nd</v>
          </cell>
          <cell r="AB168">
            <v>0</v>
          </cell>
          <cell r="AC168" t="str">
            <v>nd</v>
          </cell>
          <cell r="AD168">
            <v>70</v>
          </cell>
          <cell r="AE168">
            <v>82.699999999999989</v>
          </cell>
          <cell r="AF168">
            <v>17.299999999999997</v>
          </cell>
          <cell r="AG168">
            <v>85.399999999999991</v>
          </cell>
          <cell r="AH168">
            <v>14.6</v>
          </cell>
          <cell r="AI168">
            <v>17.299999999999997</v>
          </cell>
          <cell r="AJ168" t="str">
            <v>nd</v>
          </cell>
          <cell r="AK168">
            <v>8.1</v>
          </cell>
          <cell r="AL168">
            <v>58.5</v>
          </cell>
          <cell r="AM168">
            <v>10.100000000000001</v>
          </cell>
          <cell r="AN168" t="str">
            <v>nd</v>
          </cell>
          <cell r="AO168" t="str">
            <v>nd</v>
          </cell>
          <cell r="AP168" t="str">
            <v>nd</v>
          </cell>
          <cell r="AQ168">
            <v>72.899999999999991</v>
          </cell>
          <cell r="AR168">
            <v>21.5</v>
          </cell>
          <cell r="AS168">
            <v>79.7</v>
          </cell>
          <cell r="AT168">
            <v>12.5</v>
          </cell>
          <cell r="AU168" t="str">
            <v>nd</v>
          </cell>
          <cell r="AV168" t="str">
            <v>nd</v>
          </cell>
          <cell r="AW168" t="str">
            <v>nd</v>
          </cell>
          <cell r="AX168">
            <v>0</v>
          </cell>
          <cell r="AY168" t="str">
            <v>nd</v>
          </cell>
          <cell r="AZ168" t="str">
            <v>nd</v>
          </cell>
          <cell r="BA168" t="str">
            <v>nd</v>
          </cell>
          <cell r="BB168">
            <v>15.2</v>
          </cell>
          <cell r="BC168">
            <v>61.8</v>
          </cell>
          <cell r="BD168">
            <v>20.8</v>
          </cell>
          <cell r="BE168">
            <v>0</v>
          </cell>
          <cell r="BF168">
            <v>0</v>
          </cell>
          <cell r="BG168">
            <v>0</v>
          </cell>
          <cell r="BH168">
            <v>7.1999999999999993</v>
          </cell>
          <cell r="BI168">
            <v>49.5</v>
          </cell>
          <cell r="BJ168">
            <v>43.2</v>
          </cell>
          <cell r="BK168">
            <v>0</v>
          </cell>
          <cell r="BL168">
            <v>0</v>
          </cell>
          <cell r="BM168">
            <v>0</v>
          </cell>
          <cell r="BN168">
            <v>9.5</v>
          </cell>
          <cell r="BO168">
            <v>77.600000000000009</v>
          </cell>
          <cell r="BP168">
            <v>12.9</v>
          </cell>
          <cell r="BQ168">
            <v>0</v>
          </cell>
          <cell r="BR168">
            <v>0</v>
          </cell>
          <cell r="BS168">
            <v>0</v>
          </cell>
          <cell r="BT168">
            <v>5.2</v>
          </cell>
          <cell r="BU168">
            <v>78</v>
          </cell>
          <cell r="BV168">
            <v>16.7</v>
          </cell>
          <cell r="BW168">
            <v>0</v>
          </cell>
          <cell r="BX168">
            <v>0</v>
          </cell>
          <cell r="BY168">
            <v>0</v>
          </cell>
          <cell r="BZ168">
            <v>0</v>
          </cell>
          <cell r="CA168" t="str">
            <v>nd</v>
          </cell>
          <cell r="CB168">
            <v>99.8</v>
          </cell>
          <cell r="CC168">
            <v>0</v>
          </cell>
          <cell r="CD168">
            <v>13.900000000000002</v>
          </cell>
          <cell r="CE168">
            <v>9.1</v>
          </cell>
          <cell r="CF168" t="str">
            <v>nd</v>
          </cell>
          <cell r="CG168" t="str">
            <v>nd</v>
          </cell>
          <cell r="CH168">
            <v>21.5</v>
          </cell>
          <cell r="CI168">
            <v>13.100000000000001</v>
          </cell>
          <cell r="CJ168">
            <v>69.3</v>
          </cell>
          <cell r="CK168">
            <v>58.4</v>
          </cell>
          <cell r="CL168" t="str">
            <v>nd</v>
          </cell>
          <cell r="CM168" t="str">
            <v>nd</v>
          </cell>
          <cell r="CN168">
            <v>0</v>
          </cell>
          <cell r="CO168">
            <v>39.6</v>
          </cell>
          <cell r="CP168" t="str">
            <v>nd</v>
          </cell>
          <cell r="CQ168">
            <v>46.400000000000006</v>
          </cell>
          <cell r="CR168">
            <v>19</v>
          </cell>
          <cell r="CS168">
            <v>32.5</v>
          </cell>
          <cell r="CT168">
            <v>5.3</v>
          </cell>
          <cell r="CU168">
            <v>94.699999999999989</v>
          </cell>
          <cell r="CV168">
            <v>4.3999999999999995</v>
          </cell>
          <cell r="CW168">
            <v>95.6</v>
          </cell>
          <cell r="CX168">
            <v>3.4000000000000004</v>
          </cell>
          <cell r="CY168">
            <v>27.200000000000003</v>
          </cell>
          <cell r="CZ168">
            <v>69.399999999999991</v>
          </cell>
          <cell r="DA168">
            <v>0</v>
          </cell>
          <cell r="DB168">
            <v>0</v>
          </cell>
          <cell r="DC168">
            <v>0</v>
          </cell>
          <cell r="DD168">
            <v>0</v>
          </cell>
          <cell r="DE168">
            <v>100</v>
          </cell>
          <cell r="DF168">
            <v>26.200000000000003</v>
          </cell>
          <cell r="DG168">
            <v>8.1</v>
          </cell>
          <cell r="DH168">
            <v>21.099999999999998</v>
          </cell>
          <cell r="DI168">
            <v>4.8</v>
          </cell>
          <cell r="DJ168">
            <v>12.5</v>
          </cell>
          <cell r="DK168">
            <v>27.200000000000003</v>
          </cell>
          <cell r="DL168">
            <v>22</v>
          </cell>
          <cell r="DM168">
            <v>22.8</v>
          </cell>
          <cell r="DN168">
            <v>13.3</v>
          </cell>
          <cell r="DO168">
            <v>38.6</v>
          </cell>
          <cell r="DP168">
            <v>7.9</v>
          </cell>
          <cell r="DQ168" t="str">
            <v>nd</v>
          </cell>
          <cell r="DR168">
            <v>14.2</v>
          </cell>
          <cell r="DS168">
            <v>28.4</v>
          </cell>
          <cell r="DT168">
            <v>16.8</v>
          </cell>
          <cell r="DU168">
            <v>0</v>
          </cell>
          <cell r="DV168">
            <v>0</v>
          </cell>
          <cell r="DW168">
            <v>0</v>
          </cell>
          <cell r="DX168">
            <v>0</v>
          </cell>
          <cell r="DY168">
            <v>0</v>
          </cell>
          <cell r="DZ168" t="str">
            <v>nd</v>
          </cell>
          <cell r="EA168">
            <v>0</v>
          </cell>
          <cell r="EB168">
            <v>0</v>
          </cell>
          <cell r="EC168">
            <v>0</v>
          </cell>
          <cell r="ED168">
            <v>0</v>
          </cell>
          <cell r="EE168">
            <v>0</v>
          </cell>
          <cell r="EF168">
            <v>33.448636999999998</v>
          </cell>
          <cell r="EG168">
            <v>8.8659584999999996</v>
          </cell>
          <cell r="EH168" t="str">
            <v>nd</v>
          </cell>
          <cell r="EI168" t="str">
            <v>nd</v>
          </cell>
          <cell r="EJ168">
            <v>0</v>
          </cell>
          <cell r="EK168">
            <v>0</v>
          </cell>
          <cell r="EL168">
            <v>35.302810099999995</v>
          </cell>
          <cell r="EM168" t="str">
            <v>nd</v>
          </cell>
          <cell r="EN168">
            <v>0</v>
          </cell>
          <cell r="EO168">
            <v>0</v>
          </cell>
          <cell r="EP168" t="str">
            <v>nd</v>
          </cell>
          <cell r="EQ168">
            <v>0</v>
          </cell>
          <cell r="ER168">
            <v>10.094313400000001</v>
          </cell>
          <cell r="ES168">
            <v>0</v>
          </cell>
          <cell r="ET168" t="str">
            <v>nd</v>
          </cell>
          <cell r="EU168">
            <v>0</v>
          </cell>
          <cell r="EV168">
            <v>0</v>
          </cell>
          <cell r="EW168">
            <v>0</v>
          </cell>
          <cell r="EX168">
            <v>0</v>
          </cell>
          <cell r="EY168">
            <v>0</v>
          </cell>
          <cell r="EZ168">
            <v>0</v>
          </cell>
          <cell r="FA168">
            <v>0</v>
          </cell>
          <cell r="FB168">
            <v>0</v>
          </cell>
          <cell r="FC168">
            <v>0</v>
          </cell>
          <cell r="FD168">
            <v>0</v>
          </cell>
          <cell r="FE168" t="str">
            <v>nd</v>
          </cell>
          <cell r="FF168">
            <v>0</v>
          </cell>
          <cell r="FG168" t="str">
            <v>nd</v>
          </cell>
          <cell r="FH168">
            <v>0</v>
          </cell>
          <cell r="FI168" t="str">
            <v>nd</v>
          </cell>
          <cell r="FJ168">
            <v>0</v>
          </cell>
          <cell r="FK168">
            <v>0</v>
          </cell>
          <cell r="FL168" t="str">
            <v>nd</v>
          </cell>
          <cell r="FM168">
            <v>33.308167400000002</v>
          </cell>
          <cell r="FN168">
            <v>7.8876001999999996</v>
          </cell>
          <cell r="FO168">
            <v>0</v>
          </cell>
          <cell r="FP168">
            <v>0</v>
          </cell>
          <cell r="FQ168">
            <v>0</v>
          </cell>
          <cell r="FR168">
            <v>9.6807540999999997</v>
          </cell>
          <cell r="FS168">
            <v>23.6006404</v>
          </cell>
          <cell r="FT168">
            <v>10.197983800000001</v>
          </cell>
          <cell r="FU168">
            <v>0</v>
          </cell>
          <cell r="FV168" t="str">
            <v>nd</v>
          </cell>
          <cell r="FW168">
            <v>0</v>
          </cell>
          <cell r="FX168" t="str">
            <v>nd</v>
          </cell>
          <cell r="FY168" t="str">
            <v>nd</v>
          </cell>
          <cell r="FZ168" t="str">
            <v>nd</v>
          </cell>
          <cell r="GA168">
            <v>0</v>
          </cell>
          <cell r="GB168">
            <v>0</v>
          </cell>
          <cell r="GC168">
            <v>0</v>
          </cell>
          <cell r="GD168">
            <v>0</v>
          </cell>
          <cell r="GE168">
            <v>0</v>
          </cell>
          <cell r="GF168">
            <v>0</v>
          </cell>
          <cell r="GG168">
            <v>0</v>
          </cell>
          <cell r="GH168">
            <v>0</v>
          </cell>
          <cell r="GI168">
            <v>0</v>
          </cell>
          <cell r="GJ168" t="str">
            <v>nd</v>
          </cell>
          <cell r="GK168" t="str">
            <v>nd</v>
          </cell>
          <cell r="GL168">
            <v>0</v>
          </cell>
          <cell r="GM168">
            <v>0</v>
          </cell>
          <cell r="GN168">
            <v>0</v>
          </cell>
          <cell r="GO168">
            <v>6.3989615000000004</v>
          </cell>
          <cell r="GP168">
            <v>21.722538499999999</v>
          </cell>
          <cell r="GQ168">
            <v>16.2683465</v>
          </cell>
          <cell r="GR168">
            <v>0</v>
          </cell>
          <cell r="GS168">
            <v>0</v>
          </cell>
          <cell r="GT168">
            <v>0</v>
          </cell>
          <cell r="GU168" t="str">
            <v>nd</v>
          </cell>
          <cell r="GV168">
            <v>18.9379624</v>
          </cell>
          <cell r="GW168">
            <v>23.588434799999998</v>
          </cell>
          <cell r="GX168">
            <v>0</v>
          </cell>
          <cell r="GY168">
            <v>0</v>
          </cell>
          <cell r="GZ168">
            <v>0</v>
          </cell>
          <cell r="HA168">
            <v>0</v>
          </cell>
          <cell r="HB168">
            <v>8.7100841999999989</v>
          </cell>
          <cell r="HC168" t="str">
            <v>nd</v>
          </cell>
          <cell r="HD168">
            <v>0</v>
          </cell>
          <cell r="HE168">
            <v>0</v>
          </cell>
          <cell r="HF168">
            <v>0</v>
          </cell>
          <cell r="HG168">
            <v>0</v>
          </cell>
          <cell r="HH168">
            <v>0</v>
          </cell>
          <cell r="HI168">
            <v>0</v>
          </cell>
          <cell r="HJ168">
            <v>0</v>
          </cell>
          <cell r="HK168">
            <v>0</v>
          </cell>
          <cell r="HL168">
            <v>0</v>
          </cell>
          <cell r="HM168" t="str">
            <v>nd</v>
          </cell>
          <cell r="HN168">
            <v>0</v>
          </cell>
          <cell r="HO168">
            <v>0</v>
          </cell>
          <cell r="HP168">
            <v>0</v>
          </cell>
          <cell r="HQ168">
            <v>0</v>
          </cell>
          <cell r="HR168" t="str">
            <v>nd</v>
          </cell>
          <cell r="HS168">
            <v>40.887718200000002</v>
          </cell>
          <cell r="HT168">
            <v>0</v>
          </cell>
          <cell r="HU168">
            <v>0</v>
          </cell>
          <cell r="HV168">
            <v>0</v>
          </cell>
          <cell r="HW168">
            <v>0</v>
          </cell>
          <cell r="HX168" t="str">
            <v>nd</v>
          </cell>
          <cell r="HY168">
            <v>30.4769626</v>
          </cell>
          <cell r="HZ168">
            <v>11.3721461</v>
          </cell>
          <cell r="IA168">
            <v>0</v>
          </cell>
          <cell r="IB168">
            <v>0</v>
          </cell>
          <cell r="IC168">
            <v>0</v>
          </cell>
          <cell r="ID168">
            <v>4.4772999999999996</v>
          </cell>
          <cell r="IE168" t="str">
            <v>nd</v>
          </cell>
          <cell r="IF168" t="str">
            <v>nd</v>
          </cell>
          <cell r="IG168">
            <v>0</v>
          </cell>
          <cell r="IH168">
            <v>0</v>
          </cell>
          <cell r="II168">
            <v>0</v>
          </cell>
          <cell r="IJ168">
            <v>0</v>
          </cell>
          <cell r="IK168">
            <v>0</v>
          </cell>
          <cell r="IL168">
            <v>0</v>
          </cell>
          <cell r="IM168">
            <v>0</v>
          </cell>
          <cell r="IN168">
            <v>0</v>
          </cell>
          <cell r="IO168">
            <v>0</v>
          </cell>
          <cell r="IP168" t="str">
            <v>nd</v>
          </cell>
          <cell r="IQ168">
            <v>0</v>
          </cell>
          <cell r="IR168">
            <v>0</v>
          </cell>
          <cell r="IS168">
            <v>0</v>
          </cell>
          <cell r="IT168">
            <v>0</v>
          </cell>
          <cell r="IU168">
            <v>3.2451800000000004</v>
          </cell>
          <cell r="IV168">
            <v>40.637067799999997</v>
          </cell>
          <cell r="IW168" t="str">
            <v>nd</v>
          </cell>
          <cell r="IX168">
            <v>0</v>
          </cell>
          <cell r="IY168">
            <v>0</v>
          </cell>
          <cell r="IZ168">
            <v>0</v>
          </cell>
          <cell r="JA168" t="str">
            <v>nd</v>
          </cell>
          <cell r="JB168">
            <v>29.018902600000001</v>
          </cell>
          <cell r="JC168">
            <v>13.6840189</v>
          </cell>
          <cell r="JD168">
            <v>0</v>
          </cell>
          <cell r="JE168">
            <v>0</v>
          </cell>
          <cell r="JF168">
            <v>0</v>
          </cell>
          <cell r="JG168" t="str">
            <v>nd</v>
          </cell>
          <cell r="JH168">
            <v>7.5574925000000004</v>
          </cell>
          <cell r="JI168" t="str">
            <v>nd</v>
          </cell>
          <cell r="JJ168">
            <v>0</v>
          </cell>
          <cell r="JK168">
            <v>0</v>
          </cell>
          <cell r="JL168">
            <v>0</v>
          </cell>
          <cell r="JM168">
            <v>0</v>
          </cell>
          <cell r="JN168">
            <v>0</v>
          </cell>
          <cell r="JO168">
            <v>0</v>
          </cell>
          <cell r="JP168">
            <v>0</v>
          </cell>
          <cell r="JQ168">
            <v>0</v>
          </cell>
          <cell r="JR168">
            <v>0</v>
          </cell>
          <cell r="JS168" t="str">
            <v>nd</v>
          </cell>
          <cell r="JT168" t="str">
            <v>nd</v>
          </cell>
          <cell r="JU168">
            <v>0</v>
          </cell>
          <cell r="JV168">
            <v>0</v>
          </cell>
          <cell r="JW168">
            <v>0</v>
          </cell>
          <cell r="JX168">
            <v>0</v>
          </cell>
          <cell r="JY168">
            <v>0</v>
          </cell>
          <cell r="JZ168">
            <v>44.250671000000004</v>
          </cell>
          <cell r="KA168">
            <v>0</v>
          </cell>
          <cell r="KB168">
            <v>0</v>
          </cell>
          <cell r="KC168">
            <v>0</v>
          </cell>
          <cell r="KD168">
            <v>0</v>
          </cell>
          <cell r="KE168">
            <v>0</v>
          </cell>
          <cell r="KF168">
            <v>43.431763199999999</v>
          </cell>
          <cell r="KG168">
            <v>0</v>
          </cell>
          <cell r="KH168">
            <v>0</v>
          </cell>
          <cell r="KI168">
            <v>0</v>
          </cell>
          <cell r="KJ168">
            <v>0</v>
          </cell>
          <cell r="KK168">
            <v>0</v>
          </cell>
          <cell r="KL168">
            <v>11.483338399999999</v>
          </cell>
          <cell r="KM168">
            <v>77.8</v>
          </cell>
          <cell r="KN168">
            <v>7.8</v>
          </cell>
          <cell r="KO168">
            <v>3.4000000000000004</v>
          </cell>
          <cell r="KP168">
            <v>5.0999999999999996</v>
          </cell>
          <cell r="KQ168">
            <v>5.8000000000000007</v>
          </cell>
          <cell r="KR168">
            <v>0</v>
          </cell>
          <cell r="KS168">
            <v>76.2</v>
          </cell>
          <cell r="KT168">
            <v>8.6</v>
          </cell>
          <cell r="KU168">
            <v>3.6999999999999997</v>
          </cell>
          <cell r="KV168">
            <v>5.5</v>
          </cell>
          <cell r="KW168">
            <v>6</v>
          </cell>
          <cell r="KX168">
            <v>0</v>
          </cell>
          <cell r="KY168"/>
          <cell r="KZ168"/>
          <cell r="LA168"/>
          <cell r="LB168"/>
          <cell r="LC168"/>
          <cell r="LD168"/>
          <cell r="LE168"/>
          <cell r="LF168"/>
          <cell r="LG168"/>
          <cell r="LH168"/>
          <cell r="LI168"/>
          <cell r="LJ168"/>
          <cell r="LK168"/>
          <cell r="LL168"/>
          <cell r="LM168"/>
          <cell r="LN168"/>
          <cell r="LO168"/>
        </row>
        <row r="169">
          <cell r="A169" t="str">
            <v>6EU2</v>
          </cell>
          <cell r="B169" t="str">
            <v>169</v>
          </cell>
          <cell r="C169" t="str">
            <v>NAF 4</v>
          </cell>
          <cell r="D169" t="str">
            <v>EU2</v>
          </cell>
          <cell r="E169" t="str">
            <v>6</v>
          </cell>
          <cell r="F169">
            <v>0</v>
          </cell>
          <cell r="G169">
            <v>16.2</v>
          </cell>
          <cell r="H169">
            <v>38.4</v>
          </cell>
          <cell r="I169">
            <v>24.7</v>
          </cell>
          <cell r="J169">
            <v>20.8</v>
          </cell>
          <cell r="K169">
            <v>70.3</v>
          </cell>
          <cell r="L169">
            <v>7.3</v>
          </cell>
          <cell r="M169">
            <v>11.200000000000001</v>
          </cell>
          <cell r="N169">
            <v>11.200000000000001</v>
          </cell>
          <cell r="O169">
            <v>26.8</v>
          </cell>
          <cell r="P169">
            <v>32.300000000000004</v>
          </cell>
          <cell r="Q169">
            <v>17.100000000000001</v>
          </cell>
          <cell r="R169">
            <v>10.7</v>
          </cell>
          <cell r="S169">
            <v>7.6</v>
          </cell>
          <cell r="T169">
            <v>26.6</v>
          </cell>
          <cell r="U169">
            <v>2</v>
          </cell>
          <cell r="V169">
            <v>32.700000000000003</v>
          </cell>
          <cell r="W169">
            <v>19</v>
          </cell>
          <cell r="X169">
            <v>79.3</v>
          </cell>
          <cell r="Y169">
            <v>1.7000000000000002</v>
          </cell>
          <cell r="Z169" t="str">
            <v>nd</v>
          </cell>
          <cell r="AA169">
            <v>65.8</v>
          </cell>
          <cell r="AB169">
            <v>0</v>
          </cell>
          <cell r="AC169">
            <v>74.2</v>
          </cell>
          <cell r="AD169" t="str">
            <v>nd</v>
          </cell>
          <cell r="AE169">
            <v>86.6</v>
          </cell>
          <cell r="AF169">
            <v>13.4</v>
          </cell>
          <cell r="AG169">
            <v>82.8</v>
          </cell>
          <cell r="AH169">
            <v>17.2</v>
          </cell>
          <cell r="AI169">
            <v>31.1</v>
          </cell>
          <cell r="AJ169">
            <v>5.2</v>
          </cell>
          <cell r="AK169">
            <v>4.5999999999999996</v>
          </cell>
          <cell r="AL169">
            <v>41.4</v>
          </cell>
          <cell r="AM169">
            <v>17.7</v>
          </cell>
          <cell r="AN169" t="str">
            <v>nd</v>
          </cell>
          <cell r="AO169" t="str">
            <v>nd</v>
          </cell>
          <cell r="AP169" t="str">
            <v>nd</v>
          </cell>
          <cell r="AQ169">
            <v>61.199999999999996</v>
          </cell>
          <cell r="AR169">
            <v>29.599999999999998</v>
          </cell>
          <cell r="AS169">
            <v>77.8</v>
          </cell>
          <cell r="AT169">
            <v>17.299999999999997</v>
          </cell>
          <cell r="AU169">
            <v>1.9</v>
          </cell>
          <cell r="AV169">
            <v>0.5</v>
          </cell>
          <cell r="AW169" t="str">
            <v>nd</v>
          </cell>
          <cell r="AX169" t="str">
            <v>nd</v>
          </cell>
          <cell r="AY169" t="str">
            <v>nd</v>
          </cell>
          <cell r="AZ169">
            <v>0.8</v>
          </cell>
          <cell r="BA169">
            <v>2.7</v>
          </cell>
          <cell r="BB169">
            <v>18.7</v>
          </cell>
          <cell r="BC169">
            <v>63.9</v>
          </cell>
          <cell r="BD169">
            <v>12.1</v>
          </cell>
          <cell r="BE169" t="str">
            <v>nd</v>
          </cell>
          <cell r="BF169">
            <v>0</v>
          </cell>
          <cell r="BG169">
            <v>0</v>
          </cell>
          <cell r="BH169" t="str">
            <v>nd</v>
          </cell>
          <cell r="BI169">
            <v>62.1</v>
          </cell>
          <cell r="BJ169">
            <v>36.700000000000003</v>
          </cell>
          <cell r="BK169" t="str">
            <v>nd</v>
          </cell>
          <cell r="BL169">
            <v>0</v>
          </cell>
          <cell r="BM169">
            <v>0</v>
          </cell>
          <cell r="BN169">
            <v>2.1</v>
          </cell>
          <cell r="BO169">
            <v>92.800000000000011</v>
          </cell>
          <cell r="BP169">
            <v>4.1000000000000005</v>
          </cell>
          <cell r="BQ169">
            <v>0</v>
          </cell>
          <cell r="BR169" t="str">
            <v>nd</v>
          </cell>
          <cell r="BS169">
            <v>0</v>
          </cell>
          <cell r="BT169">
            <v>1.0999999999999999</v>
          </cell>
          <cell r="BU169">
            <v>77.100000000000009</v>
          </cell>
          <cell r="BV169">
            <v>20.9</v>
          </cell>
          <cell r="BW169">
            <v>0</v>
          </cell>
          <cell r="BX169">
            <v>0</v>
          </cell>
          <cell r="BY169">
            <v>0</v>
          </cell>
          <cell r="BZ169" t="str">
            <v>nd</v>
          </cell>
          <cell r="CA169">
            <v>0</v>
          </cell>
          <cell r="CB169">
            <v>99.1</v>
          </cell>
          <cell r="CC169">
            <v>5.6000000000000005</v>
          </cell>
          <cell r="CD169">
            <v>18</v>
          </cell>
          <cell r="CE169">
            <v>6.7</v>
          </cell>
          <cell r="CF169">
            <v>7.8</v>
          </cell>
          <cell r="CG169" t="str">
            <v>nd</v>
          </cell>
          <cell r="CH169">
            <v>18.7</v>
          </cell>
          <cell r="CI169">
            <v>5.5</v>
          </cell>
          <cell r="CJ169">
            <v>70.399999999999991</v>
          </cell>
          <cell r="CK169">
            <v>60.099999999999994</v>
          </cell>
          <cell r="CL169">
            <v>20.599999999999998</v>
          </cell>
          <cell r="CM169" t="str">
            <v>nd</v>
          </cell>
          <cell r="CN169">
            <v>0</v>
          </cell>
          <cell r="CO169">
            <v>36.199999999999996</v>
          </cell>
          <cell r="CP169">
            <v>0.4</v>
          </cell>
          <cell r="CQ169">
            <v>46.7</v>
          </cell>
          <cell r="CR169">
            <v>31.6</v>
          </cell>
          <cell r="CS169">
            <v>21.3</v>
          </cell>
          <cell r="CT169">
            <v>6.8000000000000007</v>
          </cell>
          <cell r="CU169">
            <v>93.2</v>
          </cell>
          <cell r="CV169">
            <v>10.299999999999999</v>
          </cell>
          <cell r="CW169">
            <v>89.7</v>
          </cell>
          <cell r="CX169">
            <v>13.4</v>
          </cell>
          <cell r="CY169">
            <v>41.3</v>
          </cell>
          <cell r="CZ169">
            <v>45.300000000000004</v>
          </cell>
          <cell r="DA169">
            <v>14.000000000000002</v>
          </cell>
          <cell r="DB169">
            <v>0</v>
          </cell>
          <cell r="DC169">
            <v>0</v>
          </cell>
          <cell r="DD169" t="str">
            <v>nd</v>
          </cell>
          <cell r="DE169">
            <v>89.7</v>
          </cell>
          <cell r="DF169">
            <v>6.5</v>
          </cell>
          <cell r="DG169">
            <v>28.299999999999997</v>
          </cell>
          <cell r="DH169">
            <v>11.200000000000001</v>
          </cell>
          <cell r="DI169">
            <v>12.9</v>
          </cell>
          <cell r="DJ169">
            <v>22.7</v>
          </cell>
          <cell r="DK169">
            <v>18.399999999999999</v>
          </cell>
          <cell r="DL169">
            <v>5.0999999999999996</v>
          </cell>
          <cell r="DM169">
            <v>38.299999999999997</v>
          </cell>
          <cell r="DN169">
            <v>8.1</v>
          </cell>
          <cell r="DO169">
            <v>35.6</v>
          </cell>
          <cell r="DP169">
            <v>5</v>
          </cell>
          <cell r="DQ169" t="str">
            <v>nd</v>
          </cell>
          <cell r="DR169">
            <v>13.700000000000001</v>
          </cell>
          <cell r="DS169">
            <v>30.2</v>
          </cell>
          <cell r="DT169">
            <v>34.5</v>
          </cell>
          <cell r="DU169">
            <v>0</v>
          </cell>
          <cell r="DV169">
            <v>0</v>
          </cell>
          <cell r="DW169">
            <v>0</v>
          </cell>
          <cell r="DX169">
            <v>0</v>
          </cell>
          <cell r="DY169">
            <v>0</v>
          </cell>
          <cell r="DZ169" t="str">
            <v>nd</v>
          </cell>
          <cell r="EA169">
            <v>1.7715000000000001</v>
          </cell>
          <cell r="EB169" t="str">
            <v>nd</v>
          </cell>
          <cell r="EC169">
            <v>0</v>
          </cell>
          <cell r="ED169">
            <v>0</v>
          </cell>
          <cell r="EE169">
            <v>0</v>
          </cell>
          <cell r="EF169">
            <v>24.801879800000002</v>
          </cell>
          <cell r="EG169">
            <v>10.424127499999999</v>
          </cell>
          <cell r="EH169">
            <v>1.6061800000000002</v>
          </cell>
          <cell r="EI169">
            <v>0.52964199999999995</v>
          </cell>
          <cell r="EJ169" t="str">
            <v>nd</v>
          </cell>
          <cell r="EK169">
            <v>0</v>
          </cell>
          <cell r="EL169">
            <v>19.03303</v>
          </cell>
          <cell r="EM169" t="str">
            <v>nd</v>
          </cell>
          <cell r="EN169">
            <v>0</v>
          </cell>
          <cell r="EO169">
            <v>0</v>
          </cell>
          <cell r="EP169" t="str">
            <v>nd</v>
          </cell>
          <cell r="EQ169" t="str">
            <v>nd</v>
          </cell>
          <cell r="ER169">
            <v>20.011302300000001</v>
          </cell>
          <cell r="ES169" t="str">
            <v>nd</v>
          </cell>
          <cell r="ET169">
            <v>0</v>
          </cell>
          <cell r="EU169">
            <v>0</v>
          </cell>
          <cell r="EV169">
            <v>0</v>
          </cell>
          <cell r="EW169" t="str">
            <v>nd</v>
          </cell>
          <cell r="EX169">
            <v>0</v>
          </cell>
          <cell r="EY169">
            <v>0</v>
          </cell>
          <cell r="EZ169">
            <v>0</v>
          </cell>
          <cell r="FA169">
            <v>0</v>
          </cell>
          <cell r="FB169">
            <v>0</v>
          </cell>
          <cell r="FC169">
            <v>0</v>
          </cell>
          <cell r="FD169" t="str">
            <v>nd</v>
          </cell>
          <cell r="FE169" t="str">
            <v>nd</v>
          </cell>
          <cell r="FF169" t="str">
            <v>nd</v>
          </cell>
          <cell r="FG169">
            <v>14.526871699999999</v>
          </cell>
          <cell r="FH169">
            <v>0</v>
          </cell>
          <cell r="FI169" t="str">
            <v>nd</v>
          </cell>
          <cell r="FJ169">
            <v>0.44786599999999999</v>
          </cell>
          <cell r="FK169">
            <v>2.1735199999999999</v>
          </cell>
          <cell r="FL169">
            <v>3.6267</v>
          </cell>
          <cell r="FM169">
            <v>24.832435199999999</v>
          </cell>
          <cell r="FN169">
            <v>6.1541300000000003</v>
          </cell>
          <cell r="FO169" t="str">
            <v>nd</v>
          </cell>
          <cell r="FP169">
            <v>0</v>
          </cell>
          <cell r="FQ169">
            <v>0</v>
          </cell>
          <cell r="FR169">
            <v>5.9238499999999998</v>
          </cell>
          <cell r="FS169">
            <v>12.291070599999999</v>
          </cell>
          <cell r="FT169">
            <v>5.5170700000000004</v>
          </cell>
          <cell r="FU169">
            <v>0</v>
          </cell>
          <cell r="FV169">
            <v>0</v>
          </cell>
          <cell r="FW169" t="str">
            <v>nd</v>
          </cell>
          <cell r="FX169">
            <v>8.2564910000000005</v>
          </cell>
          <cell r="FY169">
            <v>12.275606099999999</v>
          </cell>
          <cell r="FZ169" t="str">
            <v>nd</v>
          </cell>
          <cell r="GA169">
            <v>0</v>
          </cell>
          <cell r="GB169">
            <v>0</v>
          </cell>
          <cell r="GC169">
            <v>0</v>
          </cell>
          <cell r="GD169">
            <v>0</v>
          </cell>
          <cell r="GE169">
            <v>0</v>
          </cell>
          <cell r="GF169">
            <v>0</v>
          </cell>
          <cell r="GG169">
            <v>0</v>
          </cell>
          <cell r="GH169">
            <v>0</v>
          </cell>
          <cell r="GI169">
            <v>0</v>
          </cell>
          <cell r="GJ169">
            <v>15.746509700000001</v>
          </cell>
          <cell r="GK169" t="str">
            <v>nd</v>
          </cell>
          <cell r="GL169" t="str">
            <v>nd</v>
          </cell>
          <cell r="GM169">
            <v>0</v>
          </cell>
          <cell r="GN169">
            <v>0</v>
          </cell>
          <cell r="GO169" t="str">
            <v>nd</v>
          </cell>
          <cell r="GP169">
            <v>20.0513634</v>
          </cell>
          <cell r="GQ169">
            <v>17.437771599999998</v>
          </cell>
          <cell r="GR169">
            <v>0</v>
          </cell>
          <cell r="GS169">
            <v>0</v>
          </cell>
          <cell r="GT169">
            <v>0</v>
          </cell>
          <cell r="GU169" t="str">
            <v>nd</v>
          </cell>
          <cell r="GV169">
            <v>16.616635199999997</v>
          </cell>
          <cell r="GW169">
            <v>7.9044457999999995</v>
          </cell>
          <cell r="GX169">
            <v>0</v>
          </cell>
          <cell r="GY169">
            <v>0</v>
          </cell>
          <cell r="GZ169">
            <v>0</v>
          </cell>
          <cell r="HA169">
            <v>0</v>
          </cell>
          <cell r="HB169">
            <v>9.6481615999999999</v>
          </cell>
          <cell r="HC169">
            <v>11.1556923</v>
          </cell>
          <cell r="HD169">
            <v>0</v>
          </cell>
          <cell r="HE169">
            <v>0</v>
          </cell>
          <cell r="HF169">
            <v>0</v>
          </cell>
          <cell r="HG169">
            <v>0</v>
          </cell>
          <cell r="HH169">
            <v>0</v>
          </cell>
          <cell r="HI169">
            <v>0</v>
          </cell>
          <cell r="HJ169">
            <v>0</v>
          </cell>
          <cell r="HK169">
            <v>0</v>
          </cell>
          <cell r="HL169">
            <v>0</v>
          </cell>
          <cell r="HM169">
            <v>15.857709100000001</v>
          </cell>
          <cell r="HN169" t="str">
            <v>nd</v>
          </cell>
          <cell r="HO169" t="str">
            <v>nd</v>
          </cell>
          <cell r="HP169">
            <v>0</v>
          </cell>
          <cell r="HQ169">
            <v>0</v>
          </cell>
          <cell r="HR169" t="str">
            <v>nd</v>
          </cell>
          <cell r="HS169">
            <v>33.237790599999997</v>
          </cell>
          <cell r="HT169">
            <v>3.2960099999999999</v>
          </cell>
          <cell r="HU169">
            <v>0</v>
          </cell>
          <cell r="HV169">
            <v>0</v>
          </cell>
          <cell r="HW169">
            <v>0</v>
          </cell>
          <cell r="HX169">
            <v>1.5565100000000001</v>
          </cell>
          <cell r="HY169">
            <v>22.341631899999999</v>
          </cell>
          <cell r="HZ169" t="str">
            <v>nd</v>
          </cell>
          <cell r="IA169">
            <v>0</v>
          </cell>
          <cell r="IB169">
            <v>0</v>
          </cell>
          <cell r="IC169">
            <v>0</v>
          </cell>
          <cell r="ID169">
            <v>0</v>
          </cell>
          <cell r="IE169">
            <v>21.3444769</v>
          </cell>
          <cell r="IF169">
            <v>0</v>
          </cell>
          <cell r="IG169">
            <v>0</v>
          </cell>
          <cell r="IH169">
            <v>0</v>
          </cell>
          <cell r="II169">
            <v>0</v>
          </cell>
          <cell r="IJ169">
            <v>0</v>
          </cell>
          <cell r="IK169">
            <v>0</v>
          </cell>
          <cell r="IL169">
            <v>0</v>
          </cell>
          <cell r="IM169">
            <v>0</v>
          </cell>
          <cell r="IN169">
            <v>0</v>
          </cell>
          <cell r="IO169" t="str">
            <v>nd</v>
          </cell>
          <cell r="IP169">
            <v>14.815602499999999</v>
          </cell>
          <cell r="IQ169">
            <v>0.88550999999999991</v>
          </cell>
          <cell r="IR169">
            <v>0</v>
          </cell>
          <cell r="IS169" t="str">
            <v>nd</v>
          </cell>
          <cell r="IT169">
            <v>0</v>
          </cell>
          <cell r="IU169" t="str">
            <v>nd</v>
          </cell>
          <cell r="IV169">
            <v>23.761304499999998</v>
          </cell>
          <cell r="IW169">
            <v>12.995715599999999</v>
          </cell>
          <cell r="IX169">
            <v>0</v>
          </cell>
          <cell r="IY169">
            <v>0</v>
          </cell>
          <cell r="IZ169">
            <v>0</v>
          </cell>
          <cell r="JA169">
            <v>0.444909</v>
          </cell>
          <cell r="JB169">
            <v>22.339851100000001</v>
          </cell>
          <cell r="JC169">
            <v>1.8262400000000001</v>
          </cell>
          <cell r="JD169">
            <v>0</v>
          </cell>
          <cell r="JE169">
            <v>0</v>
          </cell>
          <cell r="JF169">
            <v>0</v>
          </cell>
          <cell r="JG169">
            <v>0</v>
          </cell>
          <cell r="JH169">
            <v>16.196108800000001</v>
          </cell>
          <cell r="JI169">
            <v>5.1488100000000001</v>
          </cell>
          <cell r="JJ169">
            <v>0</v>
          </cell>
          <cell r="JK169">
            <v>0</v>
          </cell>
          <cell r="JL169">
            <v>0</v>
          </cell>
          <cell r="JM169">
            <v>0</v>
          </cell>
          <cell r="JN169">
            <v>0</v>
          </cell>
          <cell r="JO169">
            <v>0</v>
          </cell>
          <cell r="JP169">
            <v>0</v>
          </cell>
          <cell r="JQ169">
            <v>0</v>
          </cell>
          <cell r="JR169">
            <v>0</v>
          </cell>
          <cell r="JS169">
            <v>0</v>
          </cell>
          <cell r="JT169">
            <v>15.898446699999999</v>
          </cell>
          <cell r="JU169">
            <v>0</v>
          </cell>
          <cell r="JV169">
            <v>0</v>
          </cell>
          <cell r="JW169">
            <v>0</v>
          </cell>
          <cell r="JX169" t="str">
            <v>nd</v>
          </cell>
          <cell r="JY169">
            <v>0</v>
          </cell>
          <cell r="JZ169">
            <v>37.399824199999998</v>
          </cell>
          <cell r="KA169">
            <v>0</v>
          </cell>
          <cell r="KB169">
            <v>0</v>
          </cell>
          <cell r="KC169">
            <v>0</v>
          </cell>
          <cell r="KD169">
            <v>0</v>
          </cell>
          <cell r="KE169">
            <v>0</v>
          </cell>
          <cell r="KF169">
            <v>24.446718400000002</v>
          </cell>
          <cell r="KG169">
            <v>0</v>
          </cell>
          <cell r="KH169">
            <v>0</v>
          </cell>
          <cell r="KI169">
            <v>0</v>
          </cell>
          <cell r="KJ169">
            <v>0</v>
          </cell>
          <cell r="KK169">
            <v>0</v>
          </cell>
          <cell r="KL169">
            <v>21.3110386</v>
          </cell>
          <cell r="KM169">
            <v>75.8</v>
          </cell>
          <cell r="KN169">
            <v>8.6</v>
          </cell>
          <cell r="KO169">
            <v>5.3</v>
          </cell>
          <cell r="KP169">
            <v>5.7</v>
          </cell>
          <cell r="KQ169">
            <v>4.5</v>
          </cell>
          <cell r="KR169">
            <v>0</v>
          </cell>
          <cell r="KS169">
            <v>74.599999999999994</v>
          </cell>
          <cell r="KT169">
            <v>9.7000000000000011</v>
          </cell>
          <cell r="KU169">
            <v>5.2</v>
          </cell>
          <cell r="KV169">
            <v>5.8000000000000007</v>
          </cell>
          <cell r="KW169">
            <v>4.5</v>
          </cell>
          <cell r="KX169">
            <v>0.1</v>
          </cell>
          <cell r="KY169"/>
          <cell r="KZ169"/>
          <cell r="LA169"/>
          <cell r="LB169"/>
          <cell r="LC169"/>
          <cell r="LD169"/>
          <cell r="LE169"/>
          <cell r="LF169"/>
          <cell r="LG169"/>
          <cell r="LH169"/>
          <cell r="LI169"/>
          <cell r="LJ169"/>
          <cell r="LK169"/>
          <cell r="LL169"/>
          <cell r="LM169"/>
          <cell r="LN169"/>
          <cell r="LO169"/>
        </row>
        <row r="170">
          <cell r="A170" t="str">
            <v>AEU2</v>
          </cell>
          <cell r="B170" t="str">
            <v>170</v>
          </cell>
          <cell r="C170" t="str">
            <v>NAF 4</v>
          </cell>
          <cell r="D170" t="str">
            <v>EU2</v>
          </cell>
          <cell r="E170" t="str">
            <v>A</v>
          </cell>
          <cell r="F170">
            <v>0.8</v>
          </cell>
          <cell r="G170">
            <v>3.3000000000000003</v>
          </cell>
          <cell r="H170">
            <v>22.2</v>
          </cell>
          <cell r="I170">
            <v>58.5</v>
          </cell>
          <cell r="J170">
            <v>15.1</v>
          </cell>
          <cell r="K170">
            <v>46.1</v>
          </cell>
          <cell r="L170">
            <v>20.5</v>
          </cell>
          <cell r="M170">
            <v>27.900000000000002</v>
          </cell>
          <cell r="N170">
            <v>5.4</v>
          </cell>
          <cell r="O170">
            <v>24.4</v>
          </cell>
          <cell r="P170">
            <v>24.3</v>
          </cell>
          <cell r="Q170">
            <v>28.9</v>
          </cell>
          <cell r="R170">
            <v>8.4</v>
          </cell>
          <cell r="S170">
            <v>16.100000000000001</v>
          </cell>
          <cell r="T170">
            <v>21.099999999999998</v>
          </cell>
          <cell r="U170">
            <v>6.7</v>
          </cell>
          <cell r="V170">
            <v>20.3</v>
          </cell>
          <cell r="W170">
            <v>6</v>
          </cell>
          <cell r="X170">
            <v>86.6</v>
          </cell>
          <cell r="Y170">
            <v>7.3999999999999995</v>
          </cell>
          <cell r="Z170" t="str">
            <v>nd</v>
          </cell>
          <cell r="AA170">
            <v>32.800000000000004</v>
          </cell>
          <cell r="AB170">
            <v>13.8</v>
          </cell>
          <cell r="AC170">
            <v>25.900000000000002</v>
          </cell>
          <cell r="AD170">
            <v>39.700000000000003</v>
          </cell>
          <cell r="AE170">
            <v>31.5</v>
          </cell>
          <cell r="AF170">
            <v>68.5</v>
          </cell>
          <cell r="AG170">
            <v>62.6</v>
          </cell>
          <cell r="AH170">
            <v>37.4</v>
          </cell>
          <cell r="AI170">
            <v>21.3</v>
          </cell>
          <cell r="AJ170">
            <v>7.9</v>
          </cell>
          <cell r="AK170">
            <v>7.6</v>
          </cell>
          <cell r="AL170">
            <v>53</v>
          </cell>
          <cell r="AM170">
            <v>10.199999999999999</v>
          </cell>
          <cell r="AN170">
            <v>0</v>
          </cell>
          <cell r="AO170" t="str">
            <v>nd</v>
          </cell>
          <cell r="AP170" t="str">
            <v>nd</v>
          </cell>
          <cell r="AQ170">
            <v>93.600000000000009</v>
          </cell>
          <cell r="AR170">
            <v>4.2</v>
          </cell>
          <cell r="AS170">
            <v>88.9</v>
          </cell>
          <cell r="AT170">
            <v>5.6000000000000005</v>
          </cell>
          <cell r="AU170">
            <v>2.6</v>
          </cell>
          <cell r="AV170">
            <v>0.8</v>
          </cell>
          <cell r="AW170">
            <v>0.5</v>
          </cell>
          <cell r="AX170">
            <v>1.6</v>
          </cell>
          <cell r="AY170" t="str">
            <v>nd</v>
          </cell>
          <cell r="AZ170" t="str">
            <v>nd</v>
          </cell>
          <cell r="BA170">
            <v>0.89999999999999991</v>
          </cell>
          <cell r="BB170">
            <v>2.4</v>
          </cell>
          <cell r="BC170">
            <v>14.2</v>
          </cell>
          <cell r="BD170">
            <v>82</v>
          </cell>
          <cell r="BE170">
            <v>0.70000000000000007</v>
          </cell>
          <cell r="BF170" t="str">
            <v>nd</v>
          </cell>
          <cell r="BG170">
            <v>1.0999999999999999</v>
          </cell>
          <cell r="BH170">
            <v>4.1000000000000005</v>
          </cell>
          <cell r="BI170">
            <v>17.2</v>
          </cell>
          <cell r="BJ170">
            <v>76.8</v>
          </cell>
          <cell r="BK170">
            <v>0</v>
          </cell>
          <cell r="BL170">
            <v>0</v>
          </cell>
          <cell r="BM170" t="str">
            <v>nd</v>
          </cell>
          <cell r="BN170">
            <v>2.2999999999999998</v>
          </cell>
          <cell r="BO170">
            <v>50.2</v>
          </cell>
          <cell r="BP170">
            <v>47.099999999999994</v>
          </cell>
          <cell r="BQ170">
            <v>0</v>
          </cell>
          <cell r="BR170" t="str">
            <v>nd</v>
          </cell>
          <cell r="BS170" t="str">
            <v>nd</v>
          </cell>
          <cell r="BT170">
            <v>1.6</v>
          </cell>
          <cell r="BU170">
            <v>22.3</v>
          </cell>
          <cell r="BV170">
            <v>75.8</v>
          </cell>
          <cell r="BW170">
            <v>0</v>
          </cell>
          <cell r="BX170">
            <v>0</v>
          </cell>
          <cell r="BY170">
            <v>0</v>
          </cell>
          <cell r="BZ170">
            <v>0</v>
          </cell>
          <cell r="CA170" t="str">
            <v>nd</v>
          </cell>
          <cell r="CB170">
            <v>99.6</v>
          </cell>
          <cell r="CC170">
            <v>6.2</v>
          </cell>
          <cell r="CD170">
            <v>8.2000000000000011</v>
          </cell>
          <cell r="CE170">
            <v>1.9</v>
          </cell>
          <cell r="CF170">
            <v>3.6999999999999997</v>
          </cell>
          <cell r="CG170">
            <v>0</v>
          </cell>
          <cell r="CH170">
            <v>19.400000000000002</v>
          </cell>
          <cell r="CI170">
            <v>8.1</v>
          </cell>
          <cell r="CJ170">
            <v>71</v>
          </cell>
          <cell r="CK170">
            <v>33.200000000000003</v>
          </cell>
          <cell r="CL170">
            <v>2.6</v>
          </cell>
          <cell r="CM170">
            <v>2.7</v>
          </cell>
          <cell r="CN170">
            <v>1.0999999999999999</v>
          </cell>
          <cell r="CO170">
            <v>66.600000000000009</v>
          </cell>
          <cell r="CP170">
            <v>11.1</v>
          </cell>
          <cell r="CQ170">
            <v>29.5</v>
          </cell>
          <cell r="CR170">
            <v>31.2</v>
          </cell>
          <cell r="CS170">
            <v>28.199999999999996</v>
          </cell>
          <cell r="CT170">
            <v>5.8999999999999995</v>
          </cell>
          <cell r="CU170">
            <v>94.1</v>
          </cell>
          <cell r="CV170">
            <v>4.5999999999999996</v>
          </cell>
          <cell r="CW170">
            <v>95.399999999999991</v>
          </cell>
          <cell r="CX170">
            <v>8.9</v>
          </cell>
          <cell r="CY170">
            <v>22.6</v>
          </cell>
          <cell r="CZ170">
            <v>68.5</v>
          </cell>
          <cell r="DA170">
            <v>11.700000000000001</v>
          </cell>
          <cell r="DB170">
            <v>0</v>
          </cell>
          <cell r="DC170">
            <v>7.8</v>
          </cell>
          <cell r="DD170">
            <v>0</v>
          </cell>
          <cell r="DE170">
            <v>80.5</v>
          </cell>
          <cell r="DF170">
            <v>25.2</v>
          </cell>
          <cell r="DG170">
            <v>11.4</v>
          </cell>
          <cell r="DH170">
            <v>17.899999999999999</v>
          </cell>
          <cell r="DI170">
            <v>11.4</v>
          </cell>
          <cell r="DJ170">
            <v>12.6</v>
          </cell>
          <cell r="DK170">
            <v>21.6</v>
          </cell>
          <cell r="DL170">
            <v>26.5</v>
          </cell>
          <cell r="DM170">
            <v>28.299999999999997</v>
          </cell>
          <cell r="DN170">
            <v>8.1</v>
          </cell>
          <cell r="DO170">
            <v>27.700000000000003</v>
          </cell>
          <cell r="DP170">
            <v>2.7</v>
          </cell>
          <cell r="DQ170" t="str">
            <v>nd</v>
          </cell>
          <cell r="DR170">
            <v>21</v>
          </cell>
          <cell r="DS170">
            <v>6</v>
          </cell>
          <cell r="DT170">
            <v>15.8</v>
          </cell>
          <cell r="DU170">
            <v>0</v>
          </cell>
          <cell r="DV170">
            <v>0</v>
          </cell>
          <cell r="DW170">
            <v>0</v>
          </cell>
          <cell r="DX170" t="str">
            <v>nd</v>
          </cell>
          <cell r="DY170" t="str">
            <v>nd</v>
          </cell>
          <cell r="DZ170">
            <v>2.2861599999999997</v>
          </cell>
          <cell r="EA170">
            <v>0</v>
          </cell>
          <cell r="EB170" t="str">
            <v>nd</v>
          </cell>
          <cell r="EC170" t="str">
            <v>nd</v>
          </cell>
          <cell r="ED170">
            <v>0</v>
          </cell>
          <cell r="EE170">
            <v>0</v>
          </cell>
          <cell r="EF170">
            <v>17.318125500000001</v>
          </cell>
          <cell r="EG170">
            <v>3.3422300000000003</v>
          </cell>
          <cell r="EH170">
            <v>1.3445400000000001</v>
          </cell>
          <cell r="EI170">
            <v>0</v>
          </cell>
          <cell r="EJ170" t="str">
            <v>nd</v>
          </cell>
          <cell r="EK170">
            <v>0.56769400000000003</v>
          </cell>
          <cell r="EL170">
            <v>53.973872399999998</v>
          </cell>
          <cell r="EM170">
            <v>2.1300499999999998</v>
          </cell>
          <cell r="EN170">
            <v>0.71595200000000003</v>
          </cell>
          <cell r="EO170">
            <v>0</v>
          </cell>
          <cell r="EP170" t="str">
            <v>nd</v>
          </cell>
          <cell r="EQ170">
            <v>0.60354200000000002</v>
          </cell>
          <cell r="ER170">
            <v>15.2295772</v>
          </cell>
          <cell r="ES170" t="str">
            <v>nd</v>
          </cell>
          <cell r="ET170">
            <v>0</v>
          </cell>
          <cell r="EU170" t="str">
            <v>nd</v>
          </cell>
          <cell r="EV170">
            <v>0</v>
          </cell>
          <cell r="EW170">
            <v>0</v>
          </cell>
          <cell r="EX170">
            <v>0</v>
          </cell>
          <cell r="EY170">
            <v>0</v>
          </cell>
          <cell r="EZ170">
            <v>0</v>
          </cell>
          <cell r="FA170">
            <v>0</v>
          </cell>
          <cell r="FB170">
            <v>0.80379999999999996</v>
          </cell>
          <cell r="FC170">
            <v>0</v>
          </cell>
          <cell r="FD170">
            <v>0</v>
          </cell>
          <cell r="FE170" t="str">
            <v>nd</v>
          </cell>
          <cell r="FF170">
            <v>0</v>
          </cell>
          <cell r="FG170">
            <v>0.70035700000000001</v>
          </cell>
          <cell r="FH170">
            <v>2.30138</v>
          </cell>
          <cell r="FI170" t="str">
            <v>nd</v>
          </cell>
          <cell r="FJ170">
            <v>0</v>
          </cell>
          <cell r="FK170" t="str">
            <v>nd</v>
          </cell>
          <cell r="FL170">
            <v>1.24969</v>
          </cell>
          <cell r="FM170">
            <v>4.8278400000000001</v>
          </cell>
          <cell r="FN170">
            <v>16.397181</v>
          </cell>
          <cell r="FO170">
            <v>0</v>
          </cell>
          <cell r="FP170">
            <v>0</v>
          </cell>
          <cell r="FQ170" t="str">
            <v>nd</v>
          </cell>
          <cell r="FR170">
            <v>1.1707399999999999</v>
          </cell>
          <cell r="FS170">
            <v>4.8830899999999993</v>
          </cell>
          <cell r="FT170">
            <v>51.949686299999996</v>
          </cell>
          <cell r="FU170">
            <v>0</v>
          </cell>
          <cell r="FV170" t="str">
            <v>nd</v>
          </cell>
          <cell r="FW170">
            <v>0</v>
          </cell>
          <cell r="FX170">
            <v>0</v>
          </cell>
          <cell r="FY170">
            <v>3.8257500000000002</v>
          </cell>
          <cell r="FZ170">
            <v>10.633811699999999</v>
          </cell>
          <cell r="GA170" t="str">
            <v>nd</v>
          </cell>
          <cell r="GB170">
            <v>0</v>
          </cell>
          <cell r="GC170">
            <v>0</v>
          </cell>
          <cell r="GD170">
            <v>0</v>
          </cell>
          <cell r="GE170" t="str">
            <v>nd</v>
          </cell>
          <cell r="GF170">
            <v>0</v>
          </cell>
          <cell r="GG170" t="str">
            <v>nd</v>
          </cell>
          <cell r="GH170" t="str">
            <v>nd</v>
          </cell>
          <cell r="GI170">
            <v>0</v>
          </cell>
          <cell r="GJ170">
            <v>1.0179400000000001</v>
          </cell>
          <cell r="GK170">
            <v>1.9065300000000001</v>
          </cell>
          <cell r="GL170">
            <v>0</v>
          </cell>
          <cell r="GM170">
            <v>0</v>
          </cell>
          <cell r="GN170">
            <v>0.77243899999999999</v>
          </cell>
          <cell r="GO170">
            <v>1.6777</v>
          </cell>
          <cell r="GP170">
            <v>5.1019799999999993</v>
          </cell>
          <cell r="GQ170">
            <v>15.4150434</v>
          </cell>
          <cell r="GR170" t="str">
            <v>nd</v>
          </cell>
          <cell r="GS170">
            <v>0</v>
          </cell>
          <cell r="GT170">
            <v>0</v>
          </cell>
          <cell r="GU170">
            <v>1.7053400000000001</v>
          </cell>
          <cell r="GV170">
            <v>7.3925265000000007</v>
          </cell>
          <cell r="GW170">
            <v>49.018849599999996</v>
          </cell>
          <cell r="GX170">
            <v>0</v>
          </cell>
          <cell r="GY170">
            <v>0</v>
          </cell>
          <cell r="GZ170">
            <v>0</v>
          </cell>
          <cell r="HA170" t="str">
            <v>nd</v>
          </cell>
          <cell r="HB170">
            <v>3.6965600000000003</v>
          </cell>
          <cell r="HC170">
            <v>10.0613045</v>
          </cell>
          <cell r="HD170">
            <v>0</v>
          </cell>
          <cell r="HE170" t="str">
            <v>nd</v>
          </cell>
          <cell r="HF170">
            <v>0</v>
          </cell>
          <cell r="HG170">
            <v>0</v>
          </cell>
          <cell r="HH170" t="str">
            <v>nd</v>
          </cell>
          <cell r="HI170">
            <v>0</v>
          </cell>
          <cell r="HJ170">
            <v>0</v>
          </cell>
          <cell r="HK170">
            <v>0</v>
          </cell>
          <cell r="HL170">
            <v>0</v>
          </cell>
          <cell r="HM170">
            <v>1.6753</v>
          </cell>
          <cell r="HN170">
            <v>1.63453</v>
          </cell>
          <cell r="HO170">
            <v>0</v>
          </cell>
          <cell r="HP170">
            <v>0</v>
          </cell>
          <cell r="HQ170">
            <v>0</v>
          </cell>
          <cell r="HR170">
            <v>0.51985999999999999</v>
          </cell>
          <cell r="HS170">
            <v>12.315214600000001</v>
          </cell>
          <cell r="HT170">
            <v>9.9805072999999993</v>
          </cell>
          <cell r="HU170">
            <v>0</v>
          </cell>
          <cell r="HV170">
            <v>0</v>
          </cell>
          <cell r="HW170">
            <v>0</v>
          </cell>
          <cell r="HX170">
            <v>1.48868</v>
          </cell>
          <cell r="HY170">
            <v>27.289330099999997</v>
          </cell>
          <cell r="HZ170">
            <v>29.567081600000002</v>
          </cell>
          <cell r="IA170">
            <v>0</v>
          </cell>
          <cell r="IB170">
            <v>0</v>
          </cell>
          <cell r="IC170" t="str">
            <v>nd</v>
          </cell>
          <cell r="ID170" t="str">
            <v>nd</v>
          </cell>
          <cell r="IE170">
            <v>8.6598383000000005</v>
          </cell>
          <cell r="IF170">
            <v>5.4321399999999995</v>
          </cell>
          <cell r="IG170">
            <v>0</v>
          </cell>
          <cell r="IH170">
            <v>0</v>
          </cell>
          <cell r="II170">
            <v>0</v>
          </cell>
          <cell r="IJ170">
            <v>0</v>
          </cell>
          <cell r="IK170">
            <v>0.86104000000000003</v>
          </cell>
          <cell r="IL170">
            <v>0</v>
          </cell>
          <cell r="IM170">
            <v>0</v>
          </cell>
          <cell r="IN170">
            <v>0</v>
          </cell>
          <cell r="IO170">
            <v>0</v>
          </cell>
          <cell r="IP170">
            <v>1.08592</v>
          </cell>
          <cell r="IQ170">
            <v>2.2795999999999998</v>
          </cell>
          <cell r="IR170">
            <v>0</v>
          </cell>
          <cell r="IS170">
            <v>0</v>
          </cell>
          <cell r="IT170">
            <v>0</v>
          </cell>
          <cell r="IU170" t="str">
            <v>nd</v>
          </cell>
          <cell r="IV170">
            <v>5.4241000000000001</v>
          </cell>
          <cell r="IW170">
            <v>17.008882</v>
          </cell>
          <cell r="IX170">
            <v>0</v>
          </cell>
          <cell r="IY170" t="str">
            <v>nd</v>
          </cell>
          <cell r="IZ170" t="str">
            <v>nd</v>
          </cell>
          <cell r="JA170">
            <v>1.2371999999999999</v>
          </cell>
          <cell r="JB170">
            <v>11.751278299999999</v>
          </cell>
          <cell r="JC170">
            <v>45.521513900000002</v>
          </cell>
          <cell r="JD170">
            <v>0</v>
          </cell>
          <cell r="JE170">
            <v>0</v>
          </cell>
          <cell r="JF170">
            <v>0</v>
          </cell>
          <cell r="JG170">
            <v>0</v>
          </cell>
          <cell r="JH170">
            <v>3.8610100000000003</v>
          </cell>
          <cell r="JI170">
            <v>10.290722300000001</v>
          </cell>
          <cell r="JJ170">
            <v>0</v>
          </cell>
          <cell r="JK170">
            <v>0</v>
          </cell>
          <cell r="JL170">
            <v>0</v>
          </cell>
          <cell r="JM170">
            <v>0</v>
          </cell>
          <cell r="JN170">
            <v>0.80265000000000009</v>
          </cell>
          <cell r="JO170">
            <v>0</v>
          </cell>
          <cell r="JP170">
            <v>0</v>
          </cell>
          <cell r="JQ170">
            <v>0</v>
          </cell>
          <cell r="JR170">
            <v>0</v>
          </cell>
          <cell r="JS170">
            <v>0</v>
          </cell>
          <cell r="JT170">
            <v>3.1083599999999998</v>
          </cell>
          <cell r="JU170">
            <v>0</v>
          </cell>
          <cell r="JV170">
            <v>0</v>
          </cell>
          <cell r="JW170">
            <v>0</v>
          </cell>
          <cell r="JX170">
            <v>0</v>
          </cell>
          <cell r="JY170">
            <v>0</v>
          </cell>
          <cell r="JZ170">
            <v>22.9598795</v>
          </cell>
          <cell r="KA170">
            <v>0</v>
          </cell>
          <cell r="KB170">
            <v>0</v>
          </cell>
          <cell r="KC170">
            <v>0</v>
          </cell>
          <cell r="KD170">
            <v>0</v>
          </cell>
          <cell r="KE170" t="str">
            <v>nd</v>
          </cell>
          <cell r="KF170">
            <v>58.578626499999999</v>
          </cell>
          <cell r="KG170">
            <v>0</v>
          </cell>
          <cell r="KH170">
            <v>0</v>
          </cell>
          <cell r="KI170">
            <v>0</v>
          </cell>
          <cell r="KJ170">
            <v>0</v>
          </cell>
          <cell r="KK170">
            <v>0</v>
          </cell>
          <cell r="KL170">
            <v>14.1594687</v>
          </cell>
          <cell r="KM170">
            <v>89.9</v>
          </cell>
          <cell r="KN170">
            <v>1.9</v>
          </cell>
          <cell r="KO170">
            <v>3.1</v>
          </cell>
          <cell r="KP170">
            <v>3.5999999999999996</v>
          </cell>
          <cell r="KQ170">
            <v>1.5</v>
          </cell>
          <cell r="KR170">
            <v>0</v>
          </cell>
          <cell r="KS170">
            <v>89.3</v>
          </cell>
          <cell r="KT170">
            <v>2</v>
          </cell>
          <cell r="KU170">
            <v>3.3000000000000003</v>
          </cell>
          <cell r="KV170">
            <v>3.6999999999999997</v>
          </cell>
          <cell r="KW170">
            <v>1.6</v>
          </cell>
          <cell r="KX170">
            <v>0</v>
          </cell>
          <cell r="KY170"/>
          <cell r="KZ170"/>
          <cell r="LA170"/>
          <cell r="LB170"/>
          <cell r="LC170"/>
          <cell r="LD170"/>
          <cell r="LE170"/>
          <cell r="LF170"/>
          <cell r="LG170"/>
          <cell r="LH170"/>
          <cell r="LI170"/>
          <cell r="LJ170"/>
          <cell r="LK170"/>
          <cell r="LL170"/>
          <cell r="LM170"/>
          <cell r="LN170"/>
          <cell r="LO170"/>
        </row>
        <row r="171">
          <cell r="A171" t="str">
            <v>BEU2</v>
          </cell>
          <cell r="B171" t="str">
            <v>171</v>
          </cell>
          <cell r="C171" t="str">
            <v>NAF 4</v>
          </cell>
          <cell r="D171" t="str">
            <v>EU2</v>
          </cell>
          <cell r="E171" t="str">
            <v>B</v>
          </cell>
          <cell r="F171">
            <v>0</v>
          </cell>
          <cell r="G171">
            <v>2.9000000000000004</v>
          </cell>
          <cell r="H171">
            <v>24</v>
          </cell>
          <cell r="I171">
            <v>58.599999999999994</v>
          </cell>
          <cell r="J171">
            <v>14.399999999999999</v>
          </cell>
          <cell r="K171">
            <v>45.4</v>
          </cell>
          <cell r="L171">
            <v>24.9</v>
          </cell>
          <cell r="M171">
            <v>19</v>
          </cell>
          <cell r="N171">
            <v>10.8</v>
          </cell>
          <cell r="O171">
            <v>26.900000000000002</v>
          </cell>
          <cell r="P171">
            <v>24.3</v>
          </cell>
          <cell r="Q171">
            <v>16</v>
          </cell>
          <cell r="R171">
            <v>6.6000000000000005</v>
          </cell>
          <cell r="S171">
            <v>22.6</v>
          </cell>
          <cell r="T171">
            <v>29.099999999999998</v>
          </cell>
          <cell r="U171">
            <v>6.8000000000000007</v>
          </cell>
          <cell r="V171">
            <v>15.1</v>
          </cell>
          <cell r="W171">
            <v>9.1999999999999993</v>
          </cell>
          <cell r="X171">
            <v>84.3</v>
          </cell>
          <cell r="Y171">
            <v>6.5</v>
          </cell>
          <cell r="Z171" t="str">
            <v>nd</v>
          </cell>
          <cell r="AA171">
            <v>48.8</v>
          </cell>
          <cell r="AB171" t="str">
            <v>nd</v>
          </cell>
          <cell r="AC171">
            <v>41.5</v>
          </cell>
          <cell r="AD171">
            <v>31.7</v>
          </cell>
          <cell r="AE171">
            <v>55.2</v>
          </cell>
          <cell r="AF171">
            <v>44.800000000000004</v>
          </cell>
          <cell r="AG171">
            <v>80.100000000000009</v>
          </cell>
          <cell r="AH171">
            <v>19.900000000000002</v>
          </cell>
          <cell r="AI171">
            <v>34.799999999999997</v>
          </cell>
          <cell r="AJ171">
            <v>4.3999999999999995</v>
          </cell>
          <cell r="AK171">
            <v>5.2</v>
          </cell>
          <cell r="AL171">
            <v>47.599999999999994</v>
          </cell>
          <cell r="AM171">
            <v>8</v>
          </cell>
          <cell r="AN171">
            <v>3</v>
          </cell>
          <cell r="AO171">
            <v>6.7</v>
          </cell>
          <cell r="AP171" t="str">
            <v>nd</v>
          </cell>
          <cell r="AQ171">
            <v>85.1</v>
          </cell>
          <cell r="AR171">
            <v>3</v>
          </cell>
          <cell r="AS171">
            <v>84</v>
          </cell>
          <cell r="AT171">
            <v>7.9</v>
          </cell>
          <cell r="AU171">
            <v>3.3000000000000003</v>
          </cell>
          <cell r="AV171" t="str">
            <v>nd</v>
          </cell>
          <cell r="AW171">
            <v>1.4000000000000001</v>
          </cell>
          <cell r="AX171">
            <v>2.1</v>
          </cell>
          <cell r="AY171" t="str">
            <v>nd</v>
          </cell>
          <cell r="AZ171" t="str">
            <v>nd</v>
          </cell>
          <cell r="BA171">
            <v>1.7000000000000002</v>
          </cell>
          <cell r="BB171">
            <v>10.4</v>
          </cell>
          <cell r="BC171">
            <v>37.700000000000003</v>
          </cell>
          <cell r="BD171">
            <v>47.3</v>
          </cell>
          <cell r="BE171">
            <v>0</v>
          </cell>
          <cell r="BF171">
            <v>0</v>
          </cell>
          <cell r="BG171" t="str">
            <v>nd</v>
          </cell>
          <cell r="BH171">
            <v>4.2</v>
          </cell>
          <cell r="BI171">
            <v>37.200000000000003</v>
          </cell>
          <cell r="BJ171">
            <v>57.699999999999996</v>
          </cell>
          <cell r="BK171">
            <v>0</v>
          </cell>
          <cell r="BL171">
            <v>0</v>
          </cell>
          <cell r="BM171">
            <v>0</v>
          </cell>
          <cell r="BN171">
            <v>3.6999999999999997</v>
          </cell>
          <cell r="BO171">
            <v>76</v>
          </cell>
          <cell r="BP171">
            <v>20.3</v>
          </cell>
          <cell r="BQ171">
            <v>0</v>
          </cell>
          <cell r="BR171">
            <v>0</v>
          </cell>
          <cell r="BS171" t="str">
            <v>nd</v>
          </cell>
          <cell r="BT171">
            <v>2.1999999999999997</v>
          </cell>
          <cell r="BU171">
            <v>51.1</v>
          </cell>
          <cell r="BV171">
            <v>45.300000000000004</v>
          </cell>
          <cell r="BW171">
            <v>0</v>
          </cell>
          <cell r="BX171">
            <v>0</v>
          </cell>
          <cell r="BY171">
            <v>0</v>
          </cell>
          <cell r="BZ171">
            <v>0</v>
          </cell>
          <cell r="CA171">
            <v>2.9000000000000004</v>
          </cell>
          <cell r="CB171">
            <v>97.1</v>
          </cell>
          <cell r="CC171">
            <v>8.3000000000000007</v>
          </cell>
          <cell r="CD171">
            <v>12.8</v>
          </cell>
          <cell r="CE171">
            <v>4</v>
          </cell>
          <cell r="CF171">
            <v>7.1</v>
          </cell>
          <cell r="CG171" t="str">
            <v>nd</v>
          </cell>
          <cell r="CH171">
            <v>22.2</v>
          </cell>
          <cell r="CI171">
            <v>9.6</v>
          </cell>
          <cell r="CJ171">
            <v>67.7</v>
          </cell>
          <cell r="CK171">
            <v>40.799999999999997</v>
          </cell>
          <cell r="CL171">
            <v>1</v>
          </cell>
          <cell r="CM171">
            <v>1.2</v>
          </cell>
          <cell r="CN171" t="str">
            <v>nd</v>
          </cell>
          <cell r="CO171">
            <v>58.699999999999996</v>
          </cell>
          <cell r="CP171">
            <v>5.8999999999999995</v>
          </cell>
          <cell r="CQ171">
            <v>43.8</v>
          </cell>
          <cell r="CR171">
            <v>23.9</v>
          </cell>
          <cell r="CS171">
            <v>26.3</v>
          </cell>
          <cell r="CT171">
            <v>8.1</v>
          </cell>
          <cell r="CU171">
            <v>91.9</v>
          </cell>
          <cell r="CV171">
            <v>9.1</v>
          </cell>
          <cell r="CW171">
            <v>90.9</v>
          </cell>
          <cell r="CX171">
            <v>11.899999999999999</v>
          </cell>
          <cell r="CY171">
            <v>21.6</v>
          </cell>
          <cell r="CZ171">
            <v>66.5</v>
          </cell>
          <cell r="DA171">
            <v>29.799999999999997</v>
          </cell>
          <cell r="DB171">
            <v>0</v>
          </cell>
          <cell r="DC171" t="str">
            <v>nd</v>
          </cell>
          <cell r="DD171">
            <v>0</v>
          </cell>
          <cell r="DE171">
            <v>67</v>
          </cell>
          <cell r="DF171">
            <v>18.8</v>
          </cell>
          <cell r="DG171">
            <v>13.700000000000001</v>
          </cell>
          <cell r="DH171">
            <v>18.2</v>
          </cell>
          <cell r="DI171">
            <v>13.900000000000002</v>
          </cell>
          <cell r="DJ171">
            <v>19.3</v>
          </cell>
          <cell r="DK171">
            <v>16.100000000000001</v>
          </cell>
          <cell r="DL171">
            <v>25.1</v>
          </cell>
          <cell r="DM171">
            <v>34.9</v>
          </cell>
          <cell r="DN171">
            <v>4</v>
          </cell>
          <cell r="DO171">
            <v>27.500000000000004</v>
          </cell>
          <cell r="DP171">
            <v>4.8</v>
          </cell>
          <cell r="DQ171" t="str">
            <v>nd</v>
          </cell>
          <cell r="DR171">
            <v>11.5</v>
          </cell>
          <cell r="DS171">
            <v>12.8</v>
          </cell>
          <cell r="DT171">
            <v>13.8</v>
          </cell>
          <cell r="DU171">
            <v>0</v>
          </cell>
          <cell r="DV171">
            <v>0</v>
          </cell>
          <cell r="DW171">
            <v>0</v>
          </cell>
          <cell r="DX171">
            <v>0</v>
          </cell>
          <cell r="DY171">
            <v>0</v>
          </cell>
          <cell r="DZ171">
            <v>2.4269700000000003</v>
          </cell>
          <cell r="EA171" t="str">
            <v>nd</v>
          </cell>
          <cell r="EB171" t="str">
            <v>nd</v>
          </cell>
          <cell r="EC171">
            <v>0</v>
          </cell>
          <cell r="ED171">
            <v>0</v>
          </cell>
          <cell r="EE171">
            <v>0</v>
          </cell>
          <cell r="EF171">
            <v>16.266321699999999</v>
          </cell>
          <cell r="EG171">
            <v>4.2496100000000006</v>
          </cell>
          <cell r="EH171">
            <v>2.4748000000000001</v>
          </cell>
          <cell r="EI171" t="str">
            <v>nd</v>
          </cell>
          <cell r="EJ171" t="str">
            <v>nd</v>
          </cell>
          <cell r="EK171" t="str">
            <v>nd</v>
          </cell>
          <cell r="EL171">
            <v>55.581056100000005</v>
          </cell>
          <cell r="EM171">
            <v>2.3313899999999999</v>
          </cell>
          <cell r="EN171">
            <v>0</v>
          </cell>
          <cell r="EO171">
            <v>0</v>
          </cell>
          <cell r="EP171" t="str">
            <v>nd</v>
          </cell>
          <cell r="EQ171" t="str">
            <v>nd</v>
          </cell>
          <cell r="ER171">
            <v>9.7019464000000006</v>
          </cell>
          <cell r="ES171" t="str">
            <v>nd</v>
          </cell>
          <cell r="ET171">
            <v>0</v>
          </cell>
          <cell r="EU171" t="str">
            <v>nd</v>
          </cell>
          <cell r="EV171" t="str">
            <v>nd</v>
          </cell>
          <cell r="EW171" t="str">
            <v>nd</v>
          </cell>
          <cell r="EX171">
            <v>0</v>
          </cell>
          <cell r="EY171">
            <v>0</v>
          </cell>
          <cell r="EZ171">
            <v>0</v>
          </cell>
          <cell r="FA171">
            <v>0</v>
          </cell>
          <cell r="FB171">
            <v>0</v>
          </cell>
          <cell r="FC171">
            <v>0</v>
          </cell>
          <cell r="FD171">
            <v>0</v>
          </cell>
          <cell r="FE171">
            <v>0</v>
          </cell>
          <cell r="FF171" t="str">
            <v>nd</v>
          </cell>
          <cell r="FG171">
            <v>1.2785299999999999</v>
          </cell>
          <cell r="FH171">
            <v>0</v>
          </cell>
          <cell r="FI171">
            <v>0</v>
          </cell>
          <cell r="FJ171" t="str">
            <v>nd</v>
          </cell>
          <cell r="FK171" t="str">
            <v>nd</v>
          </cell>
          <cell r="FL171">
            <v>5.3219900000000004</v>
          </cell>
          <cell r="FM171">
            <v>10.7478271</v>
          </cell>
          <cell r="FN171">
            <v>6.3556680000000005</v>
          </cell>
          <cell r="FO171" t="str">
            <v>nd</v>
          </cell>
          <cell r="FP171">
            <v>0</v>
          </cell>
          <cell r="FQ171" t="str">
            <v>nd</v>
          </cell>
          <cell r="FR171">
            <v>1.0903799999999999</v>
          </cell>
          <cell r="FS171">
            <v>21.847172799999999</v>
          </cell>
          <cell r="FT171">
            <v>32.966448499999998</v>
          </cell>
          <cell r="FU171">
            <v>0</v>
          </cell>
          <cell r="FV171" t="str">
            <v>nd</v>
          </cell>
          <cell r="FW171">
            <v>0</v>
          </cell>
          <cell r="FX171">
            <v>1.8575899999999999</v>
          </cell>
          <cell r="FY171">
            <v>3.8327399999999998</v>
          </cell>
          <cell r="FZ171">
            <v>7.9849768000000001</v>
          </cell>
          <cell r="GA171">
            <v>0</v>
          </cell>
          <cell r="GB171">
            <v>0</v>
          </cell>
          <cell r="GC171">
            <v>0</v>
          </cell>
          <cell r="GD171">
            <v>0</v>
          </cell>
          <cell r="GE171">
            <v>0</v>
          </cell>
          <cell r="GF171">
            <v>0</v>
          </cell>
          <cell r="GG171">
            <v>0</v>
          </cell>
          <cell r="GH171" t="str">
            <v>nd</v>
          </cell>
          <cell r="GI171">
            <v>0</v>
          </cell>
          <cell r="GJ171">
            <v>2.0091399999999999</v>
          </cell>
          <cell r="GK171" t="str">
            <v>nd</v>
          </cell>
          <cell r="GL171">
            <v>0</v>
          </cell>
          <cell r="GM171">
            <v>0</v>
          </cell>
          <cell r="GN171">
            <v>0</v>
          </cell>
          <cell r="GO171">
            <v>3.5821800000000001</v>
          </cell>
          <cell r="GP171">
            <v>12.614667099999998</v>
          </cell>
          <cell r="GQ171">
            <v>8.0851588000000003</v>
          </cell>
          <cell r="GR171">
            <v>0</v>
          </cell>
          <cell r="GS171">
            <v>0</v>
          </cell>
          <cell r="GT171">
            <v>0</v>
          </cell>
          <cell r="GU171">
            <v>0</v>
          </cell>
          <cell r="GV171">
            <v>16.9720494</v>
          </cell>
          <cell r="GW171">
            <v>40.071232500000001</v>
          </cell>
          <cell r="GX171">
            <v>0</v>
          </cell>
          <cell r="GY171">
            <v>0</v>
          </cell>
          <cell r="GZ171">
            <v>0</v>
          </cell>
          <cell r="HA171" t="str">
            <v>nd</v>
          </cell>
          <cell r="HB171">
            <v>5.6313899999999997</v>
          </cell>
          <cell r="HC171">
            <v>8.9611329000000008</v>
          </cell>
          <cell r="HD171">
            <v>0</v>
          </cell>
          <cell r="HE171">
            <v>0</v>
          </cell>
          <cell r="HF171">
            <v>0</v>
          </cell>
          <cell r="HG171">
            <v>0</v>
          </cell>
          <cell r="HH171">
            <v>0</v>
          </cell>
          <cell r="HI171">
            <v>0</v>
          </cell>
          <cell r="HJ171">
            <v>0</v>
          </cell>
          <cell r="HK171">
            <v>0</v>
          </cell>
          <cell r="HL171" t="str">
            <v>nd</v>
          </cell>
          <cell r="HM171" t="str">
            <v>nd</v>
          </cell>
          <cell r="HN171" t="str">
            <v>nd</v>
          </cell>
          <cell r="HO171">
            <v>0</v>
          </cell>
          <cell r="HP171">
            <v>0</v>
          </cell>
          <cell r="HQ171">
            <v>0</v>
          </cell>
          <cell r="HR171">
            <v>1.77332</v>
          </cell>
          <cell r="HS171">
            <v>19.163581800000003</v>
          </cell>
          <cell r="HT171">
            <v>3.6935999999999996</v>
          </cell>
          <cell r="HU171">
            <v>0</v>
          </cell>
          <cell r="HV171">
            <v>0</v>
          </cell>
          <cell r="HW171">
            <v>0</v>
          </cell>
          <cell r="HX171" t="str">
            <v>nd</v>
          </cell>
          <cell r="HY171">
            <v>44.021371199999997</v>
          </cell>
          <cell r="HZ171">
            <v>12.717475200000001</v>
          </cell>
          <cell r="IA171">
            <v>0</v>
          </cell>
          <cell r="IB171">
            <v>0</v>
          </cell>
          <cell r="IC171">
            <v>0</v>
          </cell>
          <cell r="ID171">
            <v>0</v>
          </cell>
          <cell r="IE171">
            <v>11.5760893</v>
          </cell>
          <cell r="IF171">
            <v>3.7567000000000004</v>
          </cell>
          <cell r="IG171">
            <v>0</v>
          </cell>
          <cell r="IH171">
            <v>0</v>
          </cell>
          <cell r="II171">
            <v>0</v>
          </cell>
          <cell r="IJ171">
            <v>0</v>
          </cell>
          <cell r="IK171">
            <v>0</v>
          </cell>
          <cell r="IL171">
            <v>0</v>
          </cell>
          <cell r="IM171">
            <v>0</v>
          </cell>
          <cell r="IN171" t="str">
            <v>nd</v>
          </cell>
          <cell r="IO171" t="str">
            <v>nd</v>
          </cell>
          <cell r="IP171">
            <v>0</v>
          </cell>
          <cell r="IQ171" t="str">
            <v>nd</v>
          </cell>
          <cell r="IR171">
            <v>0</v>
          </cell>
          <cell r="IS171">
            <v>0</v>
          </cell>
          <cell r="IT171">
            <v>0</v>
          </cell>
          <cell r="IU171" t="str">
            <v>nd</v>
          </cell>
          <cell r="IV171">
            <v>17.815065600000001</v>
          </cell>
          <cell r="IW171">
            <v>6.1055400000000004</v>
          </cell>
          <cell r="IX171">
            <v>0</v>
          </cell>
          <cell r="IY171">
            <v>0</v>
          </cell>
          <cell r="IZ171">
            <v>0</v>
          </cell>
          <cell r="JA171" t="str">
            <v>nd</v>
          </cell>
          <cell r="JB171">
            <v>24.904446699999998</v>
          </cell>
          <cell r="JC171">
            <v>32.663842100000004</v>
          </cell>
          <cell r="JD171">
            <v>0</v>
          </cell>
          <cell r="JE171">
            <v>0</v>
          </cell>
          <cell r="JF171">
            <v>0</v>
          </cell>
          <cell r="JG171">
            <v>0</v>
          </cell>
          <cell r="JH171">
            <v>8.3361625999999998</v>
          </cell>
          <cell r="JI171">
            <v>6.361412800000001</v>
          </cell>
          <cell r="JJ171">
            <v>0</v>
          </cell>
          <cell r="JK171">
            <v>0</v>
          </cell>
          <cell r="JL171">
            <v>0</v>
          </cell>
          <cell r="JM171">
            <v>0</v>
          </cell>
          <cell r="JN171">
            <v>0</v>
          </cell>
          <cell r="JO171">
            <v>0</v>
          </cell>
          <cell r="JP171">
            <v>0</v>
          </cell>
          <cell r="JQ171">
            <v>0</v>
          </cell>
          <cell r="JR171">
            <v>0</v>
          </cell>
          <cell r="JS171" t="str">
            <v>nd</v>
          </cell>
          <cell r="JT171">
            <v>2.0385599999999999</v>
          </cell>
          <cell r="JU171">
            <v>0</v>
          </cell>
          <cell r="JV171">
            <v>0</v>
          </cell>
          <cell r="JW171">
            <v>0</v>
          </cell>
          <cell r="JX171">
            <v>0</v>
          </cell>
          <cell r="JY171" t="str">
            <v>nd</v>
          </cell>
          <cell r="JZ171">
            <v>24.043861199999998</v>
          </cell>
          <cell r="KA171">
            <v>0</v>
          </cell>
          <cell r="KB171">
            <v>0</v>
          </cell>
          <cell r="KC171">
            <v>0</v>
          </cell>
          <cell r="KD171">
            <v>0</v>
          </cell>
          <cell r="KE171" t="str">
            <v>nd</v>
          </cell>
          <cell r="KF171">
            <v>56.270851099999994</v>
          </cell>
          <cell r="KG171">
            <v>0</v>
          </cell>
          <cell r="KH171">
            <v>0</v>
          </cell>
          <cell r="KI171">
            <v>0</v>
          </cell>
          <cell r="KJ171">
            <v>0</v>
          </cell>
          <cell r="KK171" t="str">
            <v>nd</v>
          </cell>
          <cell r="KL171">
            <v>14.715198700000002</v>
          </cell>
          <cell r="KM171">
            <v>81.699999999999989</v>
          </cell>
          <cell r="KN171">
            <v>6.5</v>
          </cell>
          <cell r="KO171">
            <v>3</v>
          </cell>
          <cell r="KP171">
            <v>4.8</v>
          </cell>
          <cell r="KQ171">
            <v>3.9</v>
          </cell>
          <cell r="KR171">
            <v>0.1</v>
          </cell>
          <cell r="KS171">
            <v>80.600000000000009</v>
          </cell>
          <cell r="KT171">
            <v>7.1</v>
          </cell>
          <cell r="KU171">
            <v>3.2</v>
          </cell>
          <cell r="KV171">
            <v>5</v>
          </cell>
          <cell r="KW171">
            <v>4</v>
          </cell>
          <cell r="KX171">
            <v>0.1</v>
          </cell>
          <cell r="KY171"/>
          <cell r="KZ171"/>
          <cell r="LA171"/>
          <cell r="LB171"/>
          <cell r="LC171"/>
          <cell r="LD171"/>
          <cell r="LE171"/>
          <cell r="LF171"/>
          <cell r="LG171"/>
          <cell r="LH171"/>
          <cell r="LI171"/>
          <cell r="LJ171"/>
          <cell r="LK171"/>
          <cell r="LL171"/>
          <cell r="LM171"/>
          <cell r="LN171"/>
          <cell r="LO171"/>
        </row>
        <row r="172">
          <cell r="A172" t="str">
            <v>CEU2</v>
          </cell>
          <cell r="B172" t="str">
            <v>172</v>
          </cell>
          <cell r="C172" t="str">
            <v>NAF 4</v>
          </cell>
          <cell r="D172" t="str">
            <v>EU2</v>
          </cell>
          <cell r="E172" t="str">
            <v>C</v>
          </cell>
          <cell r="F172">
            <v>0</v>
          </cell>
          <cell r="G172">
            <v>12.7</v>
          </cell>
          <cell r="H172">
            <v>39.700000000000003</v>
          </cell>
          <cell r="I172">
            <v>28.9</v>
          </cell>
          <cell r="J172">
            <v>18.7</v>
          </cell>
          <cell r="K172">
            <v>65.900000000000006</v>
          </cell>
          <cell r="L172">
            <v>9.7000000000000011</v>
          </cell>
          <cell r="M172">
            <v>11.799999999999999</v>
          </cell>
          <cell r="N172">
            <v>12.6</v>
          </cell>
          <cell r="O172">
            <v>27.500000000000004</v>
          </cell>
          <cell r="P172">
            <v>33.700000000000003</v>
          </cell>
          <cell r="Q172">
            <v>18.3</v>
          </cell>
          <cell r="R172">
            <v>9.1</v>
          </cell>
          <cell r="S172">
            <v>7.5</v>
          </cell>
          <cell r="T172">
            <v>25.5</v>
          </cell>
          <cell r="U172">
            <v>3.3000000000000003</v>
          </cell>
          <cell r="V172">
            <v>29.599999999999998</v>
          </cell>
          <cell r="W172">
            <v>16.8</v>
          </cell>
          <cell r="X172">
            <v>80.7</v>
          </cell>
          <cell r="Y172">
            <v>2.5</v>
          </cell>
          <cell r="Z172" t="str">
            <v>nd</v>
          </cell>
          <cell r="AA172">
            <v>60.099999999999994</v>
          </cell>
          <cell r="AB172">
            <v>0</v>
          </cell>
          <cell r="AC172">
            <v>67.900000000000006</v>
          </cell>
          <cell r="AD172">
            <v>36.299999999999997</v>
          </cell>
          <cell r="AE172">
            <v>85.7</v>
          </cell>
          <cell r="AF172">
            <v>14.299999999999999</v>
          </cell>
          <cell r="AG172">
            <v>83.3</v>
          </cell>
          <cell r="AH172">
            <v>16.7</v>
          </cell>
          <cell r="AI172">
            <v>28.1</v>
          </cell>
          <cell r="AJ172">
            <v>5.4</v>
          </cell>
          <cell r="AK172">
            <v>5.4</v>
          </cell>
          <cell r="AL172">
            <v>45.2</v>
          </cell>
          <cell r="AM172">
            <v>16</v>
          </cell>
          <cell r="AN172" t="str">
            <v>nd</v>
          </cell>
          <cell r="AO172">
            <v>1.4000000000000001</v>
          </cell>
          <cell r="AP172">
            <v>4.5</v>
          </cell>
          <cell r="AQ172">
            <v>63.6</v>
          </cell>
          <cell r="AR172">
            <v>27.900000000000002</v>
          </cell>
          <cell r="AS172">
            <v>78.2</v>
          </cell>
          <cell r="AT172">
            <v>16.2</v>
          </cell>
          <cell r="AU172">
            <v>2</v>
          </cell>
          <cell r="AV172">
            <v>0.6</v>
          </cell>
          <cell r="AW172">
            <v>2</v>
          </cell>
          <cell r="AX172" t="str">
            <v>nd</v>
          </cell>
          <cell r="AY172">
            <v>1.6</v>
          </cell>
          <cell r="AZ172">
            <v>0.89999999999999991</v>
          </cell>
          <cell r="BA172">
            <v>2.1</v>
          </cell>
          <cell r="BB172">
            <v>17.899999999999999</v>
          </cell>
          <cell r="BC172">
            <v>63.4</v>
          </cell>
          <cell r="BD172">
            <v>14.099999999999998</v>
          </cell>
          <cell r="BE172" t="str">
            <v>nd</v>
          </cell>
          <cell r="BF172">
            <v>0</v>
          </cell>
          <cell r="BG172">
            <v>0</v>
          </cell>
          <cell r="BH172">
            <v>1.7999999999999998</v>
          </cell>
          <cell r="BI172">
            <v>59.199999999999996</v>
          </cell>
          <cell r="BJ172">
            <v>38.200000000000003</v>
          </cell>
          <cell r="BK172" t="str">
            <v>nd</v>
          </cell>
          <cell r="BL172">
            <v>0</v>
          </cell>
          <cell r="BM172">
            <v>0</v>
          </cell>
          <cell r="BN172">
            <v>3.8</v>
          </cell>
          <cell r="BO172">
            <v>89.4</v>
          </cell>
          <cell r="BP172">
            <v>6.1</v>
          </cell>
          <cell r="BQ172">
            <v>0</v>
          </cell>
          <cell r="BR172" t="str">
            <v>nd</v>
          </cell>
          <cell r="BS172">
            <v>0</v>
          </cell>
          <cell r="BT172">
            <v>2</v>
          </cell>
          <cell r="BU172">
            <v>77.3</v>
          </cell>
          <cell r="BV172">
            <v>19.900000000000002</v>
          </cell>
          <cell r="BW172">
            <v>0</v>
          </cell>
          <cell r="BX172">
            <v>0</v>
          </cell>
          <cell r="BY172">
            <v>0</v>
          </cell>
          <cell r="BZ172" t="str">
            <v>nd</v>
          </cell>
          <cell r="CA172" t="str">
            <v>nd</v>
          </cell>
          <cell r="CB172">
            <v>99.2</v>
          </cell>
          <cell r="CC172">
            <v>4.3999999999999995</v>
          </cell>
          <cell r="CD172">
            <v>17</v>
          </cell>
          <cell r="CE172">
            <v>7.3</v>
          </cell>
          <cell r="CF172">
            <v>6.9</v>
          </cell>
          <cell r="CG172" t="str">
            <v>nd</v>
          </cell>
          <cell r="CH172">
            <v>19.400000000000002</v>
          </cell>
          <cell r="CI172">
            <v>7.1999999999999993</v>
          </cell>
          <cell r="CJ172">
            <v>70.199999999999989</v>
          </cell>
          <cell r="CK172">
            <v>59.699999999999996</v>
          </cell>
          <cell r="CL172">
            <v>16.900000000000002</v>
          </cell>
          <cell r="CM172">
            <v>3.4000000000000004</v>
          </cell>
          <cell r="CN172">
            <v>0</v>
          </cell>
          <cell r="CO172">
            <v>37</v>
          </cell>
          <cell r="CP172">
            <v>0.8</v>
          </cell>
          <cell r="CQ172">
            <v>46.6</v>
          </cell>
          <cell r="CR172">
            <v>28.7</v>
          </cell>
          <cell r="CS172">
            <v>23.9</v>
          </cell>
          <cell r="CT172">
            <v>6.5</v>
          </cell>
          <cell r="CU172">
            <v>93.5</v>
          </cell>
          <cell r="CV172">
            <v>9</v>
          </cell>
          <cell r="CW172">
            <v>91</v>
          </cell>
          <cell r="CX172">
            <v>11.1</v>
          </cell>
          <cell r="CY172">
            <v>38.1</v>
          </cell>
          <cell r="CZ172">
            <v>50.8</v>
          </cell>
          <cell r="DA172">
            <v>13.200000000000001</v>
          </cell>
          <cell r="DB172">
            <v>0</v>
          </cell>
          <cell r="DC172">
            <v>0</v>
          </cell>
          <cell r="DD172" t="str">
            <v>nd</v>
          </cell>
          <cell r="DE172">
            <v>90.100000000000009</v>
          </cell>
          <cell r="DF172">
            <v>10.9</v>
          </cell>
          <cell r="DG172">
            <v>23.7</v>
          </cell>
          <cell r="DH172">
            <v>13.5</v>
          </cell>
          <cell r="DI172">
            <v>11.1</v>
          </cell>
          <cell r="DJ172">
            <v>20.399999999999999</v>
          </cell>
          <cell r="DK172">
            <v>20.399999999999999</v>
          </cell>
          <cell r="DL172">
            <v>8.9</v>
          </cell>
          <cell r="DM172">
            <v>34.799999999999997</v>
          </cell>
          <cell r="DN172">
            <v>9.1999999999999993</v>
          </cell>
          <cell r="DO172">
            <v>36.199999999999996</v>
          </cell>
          <cell r="DP172">
            <v>5.7</v>
          </cell>
          <cell r="DQ172">
            <v>1.9</v>
          </cell>
          <cell r="DR172">
            <v>13.8</v>
          </cell>
          <cell r="DS172">
            <v>29.799999999999997</v>
          </cell>
          <cell r="DT172">
            <v>30.5</v>
          </cell>
          <cell r="DU172">
            <v>0</v>
          </cell>
          <cell r="DV172">
            <v>0</v>
          </cell>
          <cell r="DW172">
            <v>0</v>
          </cell>
          <cell r="DX172">
            <v>0</v>
          </cell>
          <cell r="DY172">
            <v>0</v>
          </cell>
          <cell r="DZ172">
            <v>11.011765199999999</v>
          </cell>
          <cell r="EA172">
            <v>1.3709900000000002</v>
          </cell>
          <cell r="EB172" t="str">
            <v>nd</v>
          </cell>
          <cell r="EC172">
            <v>0</v>
          </cell>
          <cell r="ED172">
            <v>0</v>
          </cell>
          <cell r="EE172">
            <v>0</v>
          </cell>
          <cell r="EF172">
            <v>26.756758300000001</v>
          </cell>
          <cell r="EG172">
            <v>10.0718531</v>
          </cell>
          <cell r="EH172">
            <v>1.4993100000000001</v>
          </cell>
          <cell r="EI172">
            <v>0.62700400000000001</v>
          </cell>
          <cell r="EJ172" t="str">
            <v>nd</v>
          </cell>
          <cell r="EK172">
            <v>0</v>
          </cell>
          <cell r="EL172">
            <v>22.711338900000001</v>
          </cell>
          <cell r="EM172">
            <v>4.0856599999999998</v>
          </cell>
          <cell r="EN172">
            <v>0</v>
          </cell>
          <cell r="EO172">
            <v>0</v>
          </cell>
          <cell r="EP172" t="str">
            <v>nd</v>
          </cell>
          <cell r="EQ172" t="str">
            <v>nd</v>
          </cell>
          <cell r="ER172">
            <v>17.769246899999999</v>
          </cell>
          <cell r="ES172" t="str">
            <v>nd</v>
          </cell>
          <cell r="ET172" t="str">
            <v>nd</v>
          </cell>
          <cell r="EU172">
            <v>0</v>
          </cell>
          <cell r="EV172">
            <v>0</v>
          </cell>
          <cell r="EW172" t="str">
            <v>nd</v>
          </cell>
          <cell r="EX172">
            <v>0</v>
          </cell>
          <cell r="EY172">
            <v>0</v>
          </cell>
          <cell r="EZ172">
            <v>0</v>
          </cell>
          <cell r="FA172">
            <v>0</v>
          </cell>
          <cell r="FB172">
            <v>0</v>
          </cell>
          <cell r="FC172">
            <v>0</v>
          </cell>
          <cell r="FD172" t="str">
            <v>nd</v>
          </cell>
          <cell r="FE172" t="str">
            <v>nd</v>
          </cell>
          <cell r="FF172" t="str">
            <v>nd</v>
          </cell>
          <cell r="FG172">
            <v>11.3948967</v>
          </cell>
          <cell r="FH172">
            <v>0</v>
          </cell>
          <cell r="FI172" t="str">
            <v>nd</v>
          </cell>
          <cell r="FJ172">
            <v>0.346611</v>
          </cell>
          <cell r="FK172">
            <v>1.6821200000000001</v>
          </cell>
          <cell r="FL172">
            <v>3.2798399999999996</v>
          </cell>
          <cell r="FM172">
            <v>26.748648000000003</v>
          </cell>
          <cell r="FN172">
            <v>6.5460371000000004</v>
          </cell>
          <cell r="FO172" t="str">
            <v>nd</v>
          </cell>
          <cell r="FP172">
            <v>0</v>
          </cell>
          <cell r="FQ172">
            <v>0</v>
          </cell>
          <cell r="FR172">
            <v>6.7732192999999992</v>
          </cell>
          <cell r="FS172">
            <v>14.8479639</v>
          </cell>
          <cell r="FT172">
            <v>6.5753454000000007</v>
          </cell>
          <cell r="FU172">
            <v>0</v>
          </cell>
          <cell r="FV172" t="str">
            <v>nd</v>
          </cell>
          <cell r="FW172" t="str">
            <v>nd</v>
          </cell>
          <cell r="FX172">
            <v>7.1596956</v>
          </cell>
          <cell r="FY172">
            <v>10.4496442</v>
          </cell>
          <cell r="FZ172" t="str">
            <v>nd</v>
          </cell>
          <cell r="GA172">
            <v>0</v>
          </cell>
          <cell r="GB172">
            <v>0</v>
          </cell>
          <cell r="GC172">
            <v>0</v>
          </cell>
          <cell r="GD172">
            <v>0</v>
          </cell>
          <cell r="GE172">
            <v>0</v>
          </cell>
          <cell r="GF172">
            <v>0</v>
          </cell>
          <cell r="GG172">
            <v>0</v>
          </cell>
          <cell r="GH172">
            <v>0</v>
          </cell>
          <cell r="GI172">
            <v>0</v>
          </cell>
          <cell r="GJ172">
            <v>12.2228137</v>
          </cell>
          <cell r="GK172">
            <v>0.33830900000000003</v>
          </cell>
          <cell r="GL172" t="str">
            <v>nd</v>
          </cell>
          <cell r="GM172">
            <v>0</v>
          </cell>
          <cell r="GN172">
            <v>0</v>
          </cell>
          <cell r="GO172">
            <v>1.5585099999999998</v>
          </cell>
          <cell r="GP172">
            <v>20.429186399999999</v>
          </cell>
          <cell r="GQ172">
            <v>17.1733853</v>
          </cell>
          <cell r="GR172">
            <v>0</v>
          </cell>
          <cell r="GS172">
            <v>0</v>
          </cell>
          <cell r="GT172">
            <v>0</v>
          </cell>
          <cell r="GU172" t="str">
            <v>nd</v>
          </cell>
          <cell r="GV172">
            <v>17.141446199999997</v>
          </cell>
          <cell r="GW172">
            <v>11.450317800000001</v>
          </cell>
          <cell r="GX172">
            <v>0</v>
          </cell>
          <cell r="GY172">
            <v>0</v>
          </cell>
          <cell r="GZ172">
            <v>0</v>
          </cell>
          <cell r="HA172">
            <v>0</v>
          </cell>
          <cell r="HB172">
            <v>9.4360789</v>
          </cell>
          <cell r="HC172">
            <v>9.2435086999999996</v>
          </cell>
          <cell r="HD172">
            <v>0</v>
          </cell>
          <cell r="HE172">
            <v>0</v>
          </cell>
          <cell r="HF172">
            <v>0</v>
          </cell>
          <cell r="HG172">
            <v>0</v>
          </cell>
          <cell r="HH172">
            <v>0</v>
          </cell>
          <cell r="HI172">
            <v>0</v>
          </cell>
          <cell r="HJ172">
            <v>0</v>
          </cell>
          <cell r="HK172">
            <v>0</v>
          </cell>
          <cell r="HL172">
            <v>0</v>
          </cell>
          <cell r="HM172">
            <v>12.4611661</v>
          </cell>
          <cell r="HN172" t="str">
            <v>nd</v>
          </cell>
          <cell r="HO172" t="str">
            <v>nd</v>
          </cell>
          <cell r="HP172">
            <v>0</v>
          </cell>
          <cell r="HQ172">
            <v>0</v>
          </cell>
          <cell r="HR172">
            <v>1.2135399999999998</v>
          </cell>
          <cell r="HS172">
            <v>34.967303600000001</v>
          </cell>
          <cell r="HT172">
            <v>2.55084</v>
          </cell>
          <cell r="HU172">
            <v>0</v>
          </cell>
          <cell r="HV172">
            <v>0</v>
          </cell>
          <cell r="HW172">
            <v>0</v>
          </cell>
          <cell r="HX172">
            <v>1.5532999999999999</v>
          </cell>
          <cell r="HY172">
            <v>24.180885999999997</v>
          </cell>
          <cell r="HZ172">
            <v>3.1303200000000002</v>
          </cell>
          <cell r="IA172">
            <v>0</v>
          </cell>
          <cell r="IB172">
            <v>0</v>
          </cell>
          <cell r="IC172">
            <v>0</v>
          </cell>
          <cell r="ID172">
            <v>1.01224</v>
          </cell>
          <cell r="IE172">
            <v>17.750456100000001</v>
          </cell>
          <cell r="IF172" t="str">
            <v>nd</v>
          </cell>
          <cell r="IG172">
            <v>0</v>
          </cell>
          <cell r="IH172">
            <v>0</v>
          </cell>
          <cell r="II172">
            <v>0</v>
          </cell>
          <cell r="IJ172">
            <v>0</v>
          </cell>
          <cell r="IK172">
            <v>0</v>
          </cell>
          <cell r="IL172">
            <v>0</v>
          </cell>
          <cell r="IM172">
            <v>0</v>
          </cell>
          <cell r="IN172">
            <v>0</v>
          </cell>
          <cell r="IO172" t="str">
            <v>nd</v>
          </cell>
          <cell r="IP172">
            <v>11.6546614</v>
          </cell>
          <cell r="IQ172">
            <v>0.68530900000000006</v>
          </cell>
          <cell r="IR172">
            <v>0</v>
          </cell>
          <cell r="IS172" t="str">
            <v>nd</v>
          </cell>
          <cell r="IT172">
            <v>0</v>
          </cell>
          <cell r="IU172">
            <v>1.05749</v>
          </cell>
          <cell r="IV172">
            <v>27.576615500000003</v>
          </cell>
          <cell r="IW172">
            <v>10.15982</v>
          </cell>
          <cell r="IX172">
            <v>0</v>
          </cell>
          <cell r="IY172">
            <v>0</v>
          </cell>
          <cell r="IZ172">
            <v>0</v>
          </cell>
          <cell r="JA172">
            <v>0.50272899999999998</v>
          </cell>
          <cell r="JB172">
            <v>23.849866299999999</v>
          </cell>
          <cell r="JC172">
            <v>4.5070800000000002</v>
          </cell>
          <cell r="JD172">
            <v>0</v>
          </cell>
          <cell r="JE172">
            <v>0</v>
          </cell>
          <cell r="JF172">
            <v>0</v>
          </cell>
          <cell r="JG172" t="str">
            <v>nd</v>
          </cell>
          <cell r="JH172">
            <v>14.243070699999999</v>
          </cell>
          <cell r="JI172">
            <v>4.5652699999999999</v>
          </cell>
          <cell r="JJ172">
            <v>0</v>
          </cell>
          <cell r="JK172">
            <v>0</v>
          </cell>
          <cell r="JL172">
            <v>0</v>
          </cell>
          <cell r="JM172">
            <v>0</v>
          </cell>
          <cell r="JN172">
            <v>0</v>
          </cell>
          <cell r="JO172">
            <v>0</v>
          </cell>
          <cell r="JP172">
            <v>0</v>
          </cell>
          <cell r="JQ172">
            <v>0</v>
          </cell>
          <cell r="JR172">
            <v>0</v>
          </cell>
          <cell r="JS172" t="str">
            <v>nd</v>
          </cell>
          <cell r="JT172">
            <v>12.456382899999999</v>
          </cell>
          <cell r="JU172">
            <v>0</v>
          </cell>
          <cell r="JV172">
            <v>0</v>
          </cell>
          <cell r="JW172">
            <v>0</v>
          </cell>
          <cell r="JX172" t="str">
            <v>nd</v>
          </cell>
          <cell r="JY172">
            <v>0</v>
          </cell>
          <cell r="JZ172">
            <v>38.948679200000001</v>
          </cell>
          <cell r="KA172">
            <v>0</v>
          </cell>
          <cell r="KB172">
            <v>0</v>
          </cell>
          <cell r="KC172">
            <v>0</v>
          </cell>
          <cell r="KD172">
            <v>0</v>
          </cell>
          <cell r="KE172">
            <v>0</v>
          </cell>
          <cell r="KF172">
            <v>28.738900600000001</v>
          </cell>
          <cell r="KG172">
            <v>0</v>
          </cell>
          <cell r="KH172">
            <v>0</v>
          </cell>
          <cell r="KI172">
            <v>0</v>
          </cell>
          <cell r="KJ172">
            <v>0</v>
          </cell>
          <cell r="KK172">
            <v>0</v>
          </cell>
          <cell r="KL172">
            <v>19.089169699999999</v>
          </cell>
          <cell r="KM172">
            <v>76.3</v>
          </cell>
          <cell r="KN172">
            <v>8.4</v>
          </cell>
          <cell r="KO172">
            <v>4.9000000000000004</v>
          </cell>
          <cell r="KP172">
            <v>5.6000000000000005</v>
          </cell>
          <cell r="KQ172">
            <v>4.8</v>
          </cell>
          <cell r="KR172">
            <v>0</v>
          </cell>
          <cell r="KS172">
            <v>75</v>
          </cell>
          <cell r="KT172">
            <v>9.5</v>
          </cell>
          <cell r="KU172">
            <v>4.9000000000000004</v>
          </cell>
          <cell r="KV172">
            <v>5.8000000000000007</v>
          </cell>
          <cell r="KW172">
            <v>4.9000000000000004</v>
          </cell>
          <cell r="KX172">
            <v>0</v>
          </cell>
          <cell r="KY172"/>
          <cell r="KZ172"/>
          <cell r="LA172"/>
          <cell r="LB172"/>
          <cell r="LC172"/>
          <cell r="LD172"/>
          <cell r="LE172"/>
          <cell r="LF172"/>
          <cell r="LG172"/>
          <cell r="LH172"/>
          <cell r="LI172"/>
          <cell r="LJ172"/>
          <cell r="LK172"/>
          <cell r="LL172"/>
          <cell r="LM172"/>
          <cell r="LN172"/>
          <cell r="LO172"/>
        </row>
        <row r="173">
          <cell r="A173" t="str">
            <v>EnsEV2</v>
          </cell>
          <cell r="B173" t="str">
            <v>173</v>
          </cell>
          <cell r="C173" t="str">
            <v>NAF 4</v>
          </cell>
          <cell r="D173" t="str">
            <v>EV2</v>
          </cell>
          <cell r="E173" t="str">
            <v/>
          </cell>
          <cell r="F173">
            <v>1.7999999999999998</v>
          </cell>
          <cell r="G173">
            <v>12.1</v>
          </cell>
          <cell r="H173">
            <v>37.9</v>
          </cell>
          <cell r="I173">
            <v>36</v>
          </cell>
          <cell r="J173">
            <v>12.3</v>
          </cell>
          <cell r="K173">
            <v>60.8</v>
          </cell>
          <cell r="L173">
            <v>23.599999999999998</v>
          </cell>
          <cell r="M173">
            <v>4.9000000000000004</v>
          </cell>
          <cell r="N173">
            <v>10.6</v>
          </cell>
          <cell r="O173">
            <v>30.7</v>
          </cell>
          <cell r="P173">
            <v>36.199999999999996</v>
          </cell>
          <cell r="Q173">
            <v>11.4</v>
          </cell>
          <cell r="R173">
            <v>6.5</v>
          </cell>
          <cell r="S173">
            <v>16.7</v>
          </cell>
          <cell r="T173">
            <v>28.9</v>
          </cell>
          <cell r="U173">
            <v>8.6999999999999993</v>
          </cell>
          <cell r="V173">
            <v>22.2</v>
          </cell>
          <cell r="W173">
            <v>14.099999999999998</v>
          </cell>
          <cell r="X173">
            <v>77.100000000000009</v>
          </cell>
          <cell r="Y173">
            <v>8.7999999999999989</v>
          </cell>
          <cell r="Z173">
            <v>5.2</v>
          </cell>
          <cell r="AA173">
            <v>50</v>
          </cell>
          <cell r="AB173">
            <v>9</v>
          </cell>
          <cell r="AC173">
            <v>59.699999999999996</v>
          </cell>
          <cell r="AD173">
            <v>24.6</v>
          </cell>
          <cell r="AE173">
            <v>57.099999999999994</v>
          </cell>
          <cell r="AF173">
            <v>42.9</v>
          </cell>
          <cell r="AG173">
            <v>65.400000000000006</v>
          </cell>
          <cell r="AH173">
            <v>34.599999999999994</v>
          </cell>
          <cell r="AI173">
            <v>37.5</v>
          </cell>
          <cell r="AJ173">
            <v>14.899999999999999</v>
          </cell>
          <cell r="AK173">
            <v>2.5</v>
          </cell>
          <cell r="AL173">
            <v>38.5</v>
          </cell>
          <cell r="AM173">
            <v>6.6000000000000005</v>
          </cell>
          <cell r="AN173">
            <v>8.1</v>
          </cell>
          <cell r="AO173">
            <v>2.1</v>
          </cell>
          <cell r="AP173">
            <v>5.5</v>
          </cell>
          <cell r="AQ173">
            <v>72</v>
          </cell>
          <cell r="AR173">
            <v>12.3</v>
          </cell>
          <cell r="AS173">
            <v>55.1</v>
          </cell>
          <cell r="AT173">
            <v>14.399999999999999</v>
          </cell>
          <cell r="AU173">
            <v>8.9</v>
          </cell>
          <cell r="AV173">
            <v>9</v>
          </cell>
          <cell r="AW173">
            <v>7.1999999999999993</v>
          </cell>
          <cell r="AX173">
            <v>5.5</v>
          </cell>
          <cell r="AY173">
            <v>7.1999999999999993</v>
          </cell>
          <cell r="AZ173">
            <v>9.8000000000000007</v>
          </cell>
          <cell r="BA173">
            <v>8.1</v>
          </cell>
          <cell r="BB173">
            <v>9.8000000000000007</v>
          </cell>
          <cell r="BC173">
            <v>28.199999999999996</v>
          </cell>
          <cell r="BD173">
            <v>37</v>
          </cell>
          <cell r="BE173">
            <v>1.7000000000000002</v>
          </cell>
          <cell r="BF173">
            <v>2.7</v>
          </cell>
          <cell r="BG173">
            <v>2.9000000000000004</v>
          </cell>
          <cell r="BH173">
            <v>6.8000000000000007</v>
          </cell>
          <cell r="BI173">
            <v>32.9</v>
          </cell>
          <cell r="BJ173">
            <v>53</v>
          </cell>
          <cell r="BK173" t="str">
            <v>nd</v>
          </cell>
          <cell r="BL173">
            <v>0</v>
          </cell>
          <cell r="BM173">
            <v>0.4</v>
          </cell>
          <cell r="BN173">
            <v>9.7000000000000011</v>
          </cell>
          <cell r="BO173">
            <v>68.300000000000011</v>
          </cell>
          <cell r="BP173">
            <v>21.5</v>
          </cell>
          <cell r="BQ173">
            <v>0.2</v>
          </cell>
          <cell r="BR173">
            <v>0.3</v>
          </cell>
          <cell r="BS173">
            <v>1.7000000000000002</v>
          </cell>
          <cell r="BT173">
            <v>14.499999999999998</v>
          </cell>
          <cell r="BU173">
            <v>61</v>
          </cell>
          <cell r="BV173">
            <v>22.3</v>
          </cell>
          <cell r="BW173">
            <v>0</v>
          </cell>
          <cell r="BX173">
            <v>0</v>
          </cell>
          <cell r="BY173" t="str">
            <v>nd</v>
          </cell>
          <cell r="BZ173">
            <v>0.3</v>
          </cell>
          <cell r="CA173">
            <v>2.8000000000000003</v>
          </cell>
          <cell r="CB173">
            <v>96.8</v>
          </cell>
          <cell r="CC173">
            <v>16.7</v>
          </cell>
          <cell r="CD173">
            <v>10.100000000000001</v>
          </cell>
          <cell r="CE173">
            <v>1</v>
          </cell>
          <cell r="CF173">
            <v>1.6</v>
          </cell>
          <cell r="CG173">
            <v>0.4</v>
          </cell>
          <cell r="CH173">
            <v>14.6</v>
          </cell>
          <cell r="CI173">
            <v>9.1999999999999993</v>
          </cell>
          <cell r="CJ173">
            <v>64.600000000000009</v>
          </cell>
          <cell r="CK173">
            <v>31.900000000000002</v>
          </cell>
          <cell r="CL173">
            <v>5</v>
          </cell>
          <cell r="CM173">
            <v>2.9000000000000004</v>
          </cell>
          <cell r="CN173">
            <v>1.7000000000000002</v>
          </cell>
          <cell r="CO173">
            <v>66.2</v>
          </cell>
          <cell r="CP173">
            <v>20.5</v>
          </cell>
          <cell r="CQ173">
            <v>26.900000000000002</v>
          </cell>
          <cell r="CR173">
            <v>15.299999999999999</v>
          </cell>
          <cell r="CS173">
            <v>37.299999999999997</v>
          </cell>
          <cell r="CT173">
            <v>29.7</v>
          </cell>
          <cell r="CU173">
            <v>70.3</v>
          </cell>
          <cell r="CV173">
            <v>29.599999999999998</v>
          </cell>
          <cell r="CW173">
            <v>70.399999999999991</v>
          </cell>
          <cell r="CX173">
            <v>28.9</v>
          </cell>
          <cell r="CY173">
            <v>22.3</v>
          </cell>
          <cell r="CZ173">
            <v>48.8</v>
          </cell>
          <cell r="DA173">
            <v>41.099999999999994</v>
          </cell>
          <cell r="DB173">
            <v>6.8000000000000007</v>
          </cell>
          <cell r="DC173">
            <v>13.200000000000001</v>
          </cell>
          <cell r="DD173">
            <v>0.8</v>
          </cell>
          <cell r="DE173">
            <v>58.5</v>
          </cell>
          <cell r="DF173">
            <v>17.8</v>
          </cell>
          <cell r="DG173">
            <v>7.7</v>
          </cell>
          <cell r="DH173">
            <v>19.100000000000001</v>
          </cell>
          <cell r="DI173">
            <v>14.099999999999998</v>
          </cell>
          <cell r="DJ173">
            <v>19.3</v>
          </cell>
          <cell r="DK173">
            <v>22.1</v>
          </cell>
          <cell r="DL173">
            <v>16.900000000000002</v>
          </cell>
          <cell r="DM173">
            <v>33.6</v>
          </cell>
          <cell r="DN173">
            <v>11.899999999999999</v>
          </cell>
          <cell r="DO173">
            <v>31.1</v>
          </cell>
          <cell r="DP173">
            <v>10.7</v>
          </cell>
          <cell r="DQ173">
            <v>4.5999999999999996</v>
          </cell>
          <cell r="DR173">
            <v>8.2000000000000011</v>
          </cell>
          <cell r="DS173">
            <v>23</v>
          </cell>
          <cell r="DT173">
            <v>20.200000000000003</v>
          </cell>
          <cell r="DU173">
            <v>0.28457399999999999</v>
          </cell>
          <cell r="DV173">
            <v>0.53969900000000004</v>
          </cell>
          <cell r="DW173">
            <v>6.26665E-2</v>
          </cell>
          <cell r="DX173">
            <v>0.13558400000000001</v>
          </cell>
          <cell r="DY173">
            <v>0.60697800000000002</v>
          </cell>
          <cell r="DZ173">
            <v>3.6816300000000002</v>
          </cell>
          <cell r="EA173">
            <v>2.31047</v>
          </cell>
          <cell r="EB173">
            <v>1.7015800000000001</v>
          </cell>
          <cell r="EC173">
            <v>1.63358</v>
          </cell>
          <cell r="ED173">
            <v>2.2339600000000002</v>
          </cell>
          <cell r="EE173">
            <v>0.47967599999999999</v>
          </cell>
          <cell r="EF173">
            <v>18.640922500000002</v>
          </cell>
          <cell r="EG173">
            <v>6.9472395000000002</v>
          </cell>
          <cell r="EH173">
            <v>3.7225300000000003</v>
          </cell>
          <cell r="EI173">
            <v>4.8543399999999997</v>
          </cell>
          <cell r="EJ173">
            <v>2.35528</v>
          </cell>
          <cell r="EK173">
            <v>1.4293800000000001</v>
          </cell>
          <cell r="EL173">
            <v>24.126463600000001</v>
          </cell>
          <cell r="EM173">
            <v>3.6348699999999998</v>
          </cell>
          <cell r="EN173">
            <v>2.0857299999999999</v>
          </cell>
          <cell r="EO173">
            <v>1.8952799999999999</v>
          </cell>
          <cell r="EP173">
            <v>1.8801700000000001</v>
          </cell>
          <cell r="EQ173">
            <v>2.3643700000000001</v>
          </cell>
          <cell r="ER173">
            <v>8.1653754999999997</v>
          </cell>
          <cell r="ES173">
            <v>1.4915100000000001</v>
          </cell>
          <cell r="ET173">
            <v>1.3227499999999999</v>
          </cell>
          <cell r="EU173">
            <v>0.53391100000000002</v>
          </cell>
          <cell r="EV173">
            <v>0.20003699999999999</v>
          </cell>
          <cell r="EW173">
            <v>0.60687400000000002</v>
          </cell>
          <cell r="EX173">
            <v>4.08682E-2</v>
          </cell>
          <cell r="EY173">
            <v>0.61433800000000005</v>
          </cell>
          <cell r="EZ173">
            <v>3.2331900000000004E-2</v>
          </cell>
          <cell r="FA173">
            <v>0.12720500000000001</v>
          </cell>
          <cell r="FB173">
            <v>0.93740999999999997</v>
          </cell>
          <cell r="FC173">
            <v>0.67519299999999993</v>
          </cell>
          <cell r="FD173">
            <v>1.35914</v>
          </cell>
          <cell r="FE173">
            <v>0.65205299999999999</v>
          </cell>
          <cell r="FF173">
            <v>1.5280800000000001</v>
          </cell>
          <cell r="FG173">
            <v>3.7904599999999995</v>
          </cell>
          <cell r="FH173">
            <v>4.0724200000000002</v>
          </cell>
          <cell r="FI173">
            <v>2.7957999999999998</v>
          </cell>
          <cell r="FJ173">
            <v>4.3642500000000002</v>
          </cell>
          <cell r="FK173">
            <v>4.23177</v>
          </cell>
          <cell r="FL173">
            <v>3.5418799999999999</v>
          </cell>
          <cell r="FM173">
            <v>12.0029687</v>
          </cell>
          <cell r="FN173">
            <v>11.0059396</v>
          </cell>
          <cell r="FO173">
            <v>3.3575599999999999</v>
          </cell>
          <cell r="FP173">
            <v>2.4360400000000002</v>
          </cell>
          <cell r="FQ173">
            <v>2.55932</v>
          </cell>
          <cell r="FR173">
            <v>2.8934299999999999</v>
          </cell>
          <cell r="FS173">
            <v>8.9957863000000007</v>
          </cell>
          <cell r="FT173">
            <v>15.811618399999999</v>
          </cell>
          <cell r="FU173">
            <v>0.30133299999999996</v>
          </cell>
          <cell r="FV173">
            <v>1.6375899999999999</v>
          </cell>
          <cell r="FW173">
            <v>0.63794600000000001</v>
          </cell>
          <cell r="FX173">
            <v>1.66265</v>
          </cell>
          <cell r="FY173">
            <v>2.7467899999999998</v>
          </cell>
          <cell r="FZ173">
            <v>5.1475299999999997</v>
          </cell>
          <cell r="GA173">
            <v>0.85997000000000001</v>
          </cell>
          <cell r="GB173">
            <v>0.132466</v>
          </cell>
          <cell r="GC173">
            <v>7.13535E-2</v>
          </cell>
          <cell r="GD173">
            <v>7.0529900000000006E-2</v>
          </cell>
          <cell r="GE173">
            <v>0.34448500000000004</v>
          </cell>
          <cell r="GF173">
            <v>0.45469899999999996</v>
          </cell>
          <cell r="GG173">
            <v>1.7967500000000001</v>
          </cell>
          <cell r="GH173">
            <v>1.4747599999999998</v>
          </cell>
          <cell r="GI173">
            <v>1.89177</v>
          </cell>
          <cell r="GJ173">
            <v>3.3141099999999999</v>
          </cell>
          <cell r="GK173">
            <v>3.1129199999999999</v>
          </cell>
          <cell r="GL173">
            <v>0.236623</v>
          </cell>
          <cell r="GM173">
            <v>0.46886799999999995</v>
          </cell>
          <cell r="GN173">
            <v>1.2078200000000001</v>
          </cell>
          <cell r="GO173">
            <v>3.6951100000000001</v>
          </cell>
          <cell r="GP173">
            <v>14.4163389</v>
          </cell>
          <cell r="GQ173">
            <v>17.8689663</v>
          </cell>
          <cell r="GR173">
            <v>0.14277199999999998</v>
          </cell>
          <cell r="GS173">
            <v>7.0320199999999999E-2</v>
          </cell>
          <cell r="GT173">
            <v>8.8739399999999996E-2</v>
          </cell>
          <cell r="GU173">
            <v>0.74448999999999999</v>
          </cell>
          <cell r="GV173">
            <v>9.9431434000000003</v>
          </cell>
          <cell r="GW173">
            <v>24.969871599999998</v>
          </cell>
          <cell r="GX173">
            <v>3.7072500000000001E-2</v>
          </cell>
          <cell r="GY173">
            <v>1.50431E-2</v>
          </cell>
          <cell r="GZ173">
            <v>4.1060300000000001E-2</v>
          </cell>
          <cell r="HA173">
            <v>0.40010699999999999</v>
          </cell>
          <cell r="HB173">
            <v>5.1401300000000001</v>
          </cell>
          <cell r="HC173">
            <v>6.6486306999999991</v>
          </cell>
          <cell r="HD173">
            <v>0</v>
          </cell>
          <cell r="HE173">
            <v>0.8091299999999999</v>
          </cell>
          <cell r="HF173">
            <v>0</v>
          </cell>
          <cell r="HG173">
            <v>0.134491</v>
          </cell>
          <cell r="HH173">
            <v>0.82489999999999997</v>
          </cell>
          <cell r="HI173">
            <v>0</v>
          </cell>
          <cell r="HJ173">
            <v>0</v>
          </cell>
          <cell r="HK173">
            <v>2.26015E-2</v>
          </cell>
          <cell r="HL173">
            <v>1.0484500000000001</v>
          </cell>
          <cell r="HM173">
            <v>7.9347226000000006</v>
          </cell>
          <cell r="HN173">
            <v>3.00021</v>
          </cell>
          <cell r="HO173" t="str">
            <v>nd</v>
          </cell>
          <cell r="HP173">
            <v>0</v>
          </cell>
          <cell r="HQ173">
            <v>0.11035800000000001</v>
          </cell>
          <cell r="HR173">
            <v>4.33927</v>
          </cell>
          <cell r="HS173">
            <v>26.793089599999998</v>
          </cell>
          <cell r="HT173">
            <v>6.7388305999999991</v>
          </cell>
          <cell r="HU173" t="str">
            <v>nd</v>
          </cell>
          <cell r="HV173">
            <v>0</v>
          </cell>
          <cell r="HW173">
            <v>0.20150699999999999</v>
          </cell>
          <cell r="HX173">
            <v>2.7990900000000001</v>
          </cell>
          <cell r="HY173">
            <v>24.006837600000001</v>
          </cell>
          <cell r="HZ173">
            <v>9.0105293999999994</v>
          </cell>
          <cell r="IA173">
            <v>0</v>
          </cell>
          <cell r="IB173">
            <v>3.1396599999999997E-2</v>
          </cell>
          <cell r="IC173">
            <v>4.2304899999999999E-2</v>
          </cell>
          <cell r="ID173">
            <v>1.42167</v>
          </cell>
          <cell r="IE173">
            <v>8.7926903999999997</v>
          </cell>
          <cell r="IF173">
            <v>1.9290700000000001</v>
          </cell>
          <cell r="IG173">
            <v>3.74221E-2</v>
          </cell>
          <cell r="IH173">
            <v>0.47829500000000003</v>
          </cell>
          <cell r="II173">
            <v>4.5723299999999995E-2</v>
          </cell>
          <cell r="IJ173">
            <v>0.26860999999999996</v>
          </cell>
          <cell r="IK173">
            <v>0.92355000000000009</v>
          </cell>
          <cell r="IL173">
            <v>4.5727700000000003E-2</v>
          </cell>
          <cell r="IM173">
            <v>6.52388E-2</v>
          </cell>
          <cell r="IN173">
            <v>0.236176</v>
          </cell>
          <cell r="IO173">
            <v>3.1429199999999997</v>
          </cell>
          <cell r="IP173">
            <v>5.21434</v>
          </cell>
          <cell r="IQ173">
            <v>3.2894899999999998</v>
          </cell>
          <cell r="IR173">
            <v>7.30764E-2</v>
          </cell>
          <cell r="IS173">
            <v>0.108486</v>
          </cell>
          <cell r="IT173">
            <v>1.04941</v>
          </cell>
          <cell r="IU173">
            <v>5.1497700000000002</v>
          </cell>
          <cell r="IV173">
            <v>24.658297100000002</v>
          </cell>
          <cell r="IW173">
            <v>7.0244971999999999</v>
          </cell>
          <cell r="IX173">
            <v>3.2657399999999996E-2</v>
          </cell>
          <cell r="IY173">
            <v>7.0818099999999995E-2</v>
          </cell>
          <cell r="IZ173">
            <v>0.28945799999999999</v>
          </cell>
          <cell r="JA173">
            <v>4.5249200000000007</v>
          </cell>
          <cell r="JB173">
            <v>22.294098699999999</v>
          </cell>
          <cell r="JC173">
            <v>8.7880431999999988</v>
          </cell>
          <cell r="JD173">
            <v>0</v>
          </cell>
          <cell r="JE173" t="str">
            <v>nd</v>
          </cell>
          <cell r="JF173">
            <v>8.6000800000000002E-2</v>
          </cell>
          <cell r="JG173">
            <v>1.51861</v>
          </cell>
          <cell r="JH173">
            <v>8.3194046999999998</v>
          </cell>
          <cell r="JI173">
            <v>2.2459099999999999</v>
          </cell>
          <cell r="JJ173">
            <v>0</v>
          </cell>
          <cell r="JK173">
            <v>9.3682699999999994E-2</v>
          </cell>
          <cell r="JL173">
            <v>0</v>
          </cell>
          <cell r="JM173">
            <v>0</v>
          </cell>
          <cell r="JN173">
            <v>1.6693800000000001</v>
          </cell>
          <cell r="JO173">
            <v>0</v>
          </cell>
          <cell r="JP173">
            <v>0</v>
          </cell>
          <cell r="JQ173" t="str">
            <v>nd</v>
          </cell>
          <cell r="JR173" t="str">
            <v>nd</v>
          </cell>
          <cell r="JS173">
            <v>0.85100999999999993</v>
          </cell>
          <cell r="JT173">
            <v>10.8683502</v>
          </cell>
          <cell r="JU173">
            <v>0</v>
          </cell>
          <cell r="JV173">
            <v>0</v>
          </cell>
          <cell r="JW173">
            <v>0</v>
          </cell>
          <cell r="JX173">
            <v>5.6568099999999996E-2</v>
          </cell>
          <cell r="JY173">
            <v>1.40646</v>
          </cell>
          <cell r="JZ173">
            <v>36.530788700000002</v>
          </cell>
          <cell r="KA173">
            <v>0</v>
          </cell>
          <cell r="KB173">
            <v>0</v>
          </cell>
          <cell r="KC173">
            <v>0</v>
          </cell>
          <cell r="KD173">
            <v>2.2649499999999999E-2</v>
          </cell>
          <cell r="KE173">
            <v>0.43948900000000002</v>
          </cell>
          <cell r="KF173">
            <v>35.599893000000002</v>
          </cell>
          <cell r="KG173">
            <v>0</v>
          </cell>
          <cell r="KH173">
            <v>0</v>
          </cell>
          <cell r="KI173">
            <v>0</v>
          </cell>
          <cell r="KJ173">
            <v>0</v>
          </cell>
          <cell r="KK173">
            <v>0.113411</v>
          </cell>
          <cell r="KL173">
            <v>12.1065193</v>
          </cell>
          <cell r="KM173">
            <v>61.6</v>
          </cell>
          <cell r="KN173">
            <v>18</v>
          </cell>
          <cell r="KO173">
            <v>7.3999999999999995</v>
          </cell>
          <cell r="KP173">
            <v>5.8999999999999995</v>
          </cell>
          <cell r="KQ173">
            <v>7.0000000000000009</v>
          </cell>
          <cell r="KR173">
            <v>0.2</v>
          </cell>
          <cell r="KS173">
            <v>60.5</v>
          </cell>
          <cell r="KT173">
            <v>17.7</v>
          </cell>
          <cell r="KU173">
            <v>7.5</v>
          </cell>
          <cell r="KV173">
            <v>6.4</v>
          </cell>
          <cell r="KW173">
            <v>7.7</v>
          </cell>
          <cell r="KX173">
            <v>0.2</v>
          </cell>
          <cell r="KY173"/>
          <cell r="KZ173"/>
          <cell r="LA173"/>
          <cell r="LB173"/>
          <cell r="LC173"/>
          <cell r="LD173"/>
          <cell r="LE173"/>
          <cell r="LF173"/>
          <cell r="LG173"/>
          <cell r="LH173"/>
          <cell r="LI173"/>
          <cell r="LJ173"/>
          <cell r="LK173"/>
          <cell r="LL173"/>
          <cell r="LM173"/>
          <cell r="LN173"/>
          <cell r="LO173"/>
        </row>
        <row r="174">
          <cell r="A174" t="str">
            <v>1EV2</v>
          </cell>
          <cell r="B174" t="str">
            <v>174</v>
          </cell>
          <cell r="C174" t="str">
            <v>NAF 4</v>
          </cell>
          <cell r="D174" t="str">
            <v>EV2</v>
          </cell>
          <cell r="E174" t="str">
            <v>1</v>
          </cell>
          <cell r="F174">
            <v>3.8</v>
          </cell>
          <cell r="G174">
            <v>16.7</v>
          </cell>
          <cell r="H174">
            <v>29.7</v>
          </cell>
          <cell r="I174">
            <v>40.300000000000004</v>
          </cell>
          <cell r="J174">
            <v>9.6</v>
          </cell>
          <cell r="K174">
            <v>56.3</v>
          </cell>
          <cell r="L174">
            <v>33.1</v>
          </cell>
          <cell r="M174">
            <v>5.7</v>
          </cell>
          <cell r="N174">
            <v>4.9000000000000004</v>
          </cell>
          <cell r="O174">
            <v>30.599999999999998</v>
          </cell>
          <cell r="P174">
            <v>27.900000000000002</v>
          </cell>
          <cell r="Q174">
            <v>13.200000000000001</v>
          </cell>
          <cell r="R174">
            <v>6.6000000000000005</v>
          </cell>
          <cell r="S174">
            <v>9.6</v>
          </cell>
          <cell r="T174">
            <v>32.6</v>
          </cell>
          <cell r="U174">
            <v>12.5</v>
          </cell>
          <cell r="V174">
            <v>23.599999999999998</v>
          </cell>
          <cell r="W174">
            <v>11.1</v>
          </cell>
          <cell r="X174">
            <v>85.399999999999991</v>
          </cell>
          <cell r="Y174">
            <v>3.5000000000000004</v>
          </cell>
          <cell r="Z174">
            <v>3.9</v>
          </cell>
          <cell r="AA174">
            <v>35.299999999999997</v>
          </cell>
          <cell r="AB174">
            <v>10.8</v>
          </cell>
          <cell r="AC174">
            <v>52.900000000000006</v>
          </cell>
          <cell r="AD174">
            <v>23.5</v>
          </cell>
          <cell r="AE174">
            <v>46.5</v>
          </cell>
          <cell r="AF174">
            <v>53.5</v>
          </cell>
          <cell r="AG174">
            <v>31</v>
          </cell>
          <cell r="AH174">
            <v>69</v>
          </cell>
          <cell r="AI174">
            <v>47.9</v>
          </cell>
          <cell r="AJ174">
            <v>21</v>
          </cell>
          <cell r="AK174">
            <v>3.6999999999999997</v>
          </cell>
          <cell r="AL174">
            <v>18.8</v>
          </cell>
          <cell r="AM174">
            <v>8.6</v>
          </cell>
          <cell r="AN174">
            <v>3.9</v>
          </cell>
          <cell r="AO174">
            <v>0.89999999999999991</v>
          </cell>
          <cell r="AP174">
            <v>2.6</v>
          </cell>
          <cell r="AQ174">
            <v>88.7</v>
          </cell>
          <cell r="AR174">
            <v>3.9</v>
          </cell>
          <cell r="AS174">
            <v>64.600000000000009</v>
          </cell>
          <cell r="AT174">
            <v>9.5</v>
          </cell>
          <cell r="AU174">
            <v>5.2</v>
          </cell>
          <cell r="AV174">
            <v>4.8</v>
          </cell>
          <cell r="AW174">
            <v>4.3999999999999995</v>
          </cell>
          <cell r="AX174">
            <v>11.4</v>
          </cell>
          <cell r="AY174">
            <v>5.2</v>
          </cell>
          <cell r="AZ174">
            <v>4.1000000000000005</v>
          </cell>
          <cell r="BA174">
            <v>4.1000000000000005</v>
          </cell>
          <cell r="BB174">
            <v>6.3</v>
          </cell>
          <cell r="BC174">
            <v>14.7</v>
          </cell>
          <cell r="BD174">
            <v>65.600000000000009</v>
          </cell>
          <cell r="BE174">
            <v>4.1000000000000005</v>
          </cell>
          <cell r="BF174">
            <v>2.7</v>
          </cell>
          <cell r="BG174">
            <v>2.9000000000000004</v>
          </cell>
          <cell r="BH174">
            <v>6.3</v>
          </cell>
          <cell r="BI174">
            <v>15.5</v>
          </cell>
          <cell r="BJ174">
            <v>68.400000000000006</v>
          </cell>
          <cell r="BK174">
            <v>0</v>
          </cell>
          <cell r="BL174">
            <v>0</v>
          </cell>
          <cell r="BM174">
            <v>0.2</v>
          </cell>
          <cell r="BN174">
            <v>3.3000000000000003</v>
          </cell>
          <cell r="BO174">
            <v>32.800000000000004</v>
          </cell>
          <cell r="BP174">
            <v>63.7</v>
          </cell>
          <cell r="BQ174" t="str">
            <v>nd</v>
          </cell>
          <cell r="BR174">
            <v>0.5</v>
          </cell>
          <cell r="BS174">
            <v>1</v>
          </cell>
          <cell r="BT174">
            <v>8.1</v>
          </cell>
          <cell r="BU174">
            <v>32.1</v>
          </cell>
          <cell r="BV174">
            <v>58.099999999999994</v>
          </cell>
          <cell r="BW174">
            <v>0</v>
          </cell>
          <cell r="BX174">
            <v>0</v>
          </cell>
          <cell r="BY174" t="str">
            <v>nd</v>
          </cell>
          <cell r="BZ174" t="str">
            <v>nd</v>
          </cell>
          <cell r="CA174">
            <v>1</v>
          </cell>
          <cell r="CB174">
            <v>98.8</v>
          </cell>
          <cell r="CC174">
            <v>12.8</v>
          </cell>
          <cell r="CD174">
            <v>5.7</v>
          </cell>
          <cell r="CE174">
            <v>0.4</v>
          </cell>
          <cell r="CF174">
            <v>1.0999999999999999</v>
          </cell>
          <cell r="CG174" t="str">
            <v>nd</v>
          </cell>
          <cell r="CH174">
            <v>17.299999999999997</v>
          </cell>
          <cell r="CI174">
            <v>10.199999999999999</v>
          </cell>
          <cell r="CJ174">
            <v>67.800000000000011</v>
          </cell>
          <cell r="CK174">
            <v>18.7</v>
          </cell>
          <cell r="CL174">
            <v>1.6</v>
          </cell>
          <cell r="CM174">
            <v>1.0999999999999999</v>
          </cell>
          <cell r="CN174">
            <v>1</v>
          </cell>
          <cell r="CO174">
            <v>80.600000000000009</v>
          </cell>
          <cell r="CP174">
            <v>23.7</v>
          </cell>
          <cell r="CQ174">
            <v>27.900000000000002</v>
          </cell>
          <cell r="CR174">
            <v>13.8</v>
          </cell>
          <cell r="CS174">
            <v>34.5</v>
          </cell>
          <cell r="CT174">
            <v>23.799999999999997</v>
          </cell>
          <cell r="CU174">
            <v>76.2</v>
          </cell>
          <cell r="CV174">
            <v>19.8</v>
          </cell>
          <cell r="CW174">
            <v>80.2</v>
          </cell>
          <cell r="CX174">
            <v>21.099999999999998</v>
          </cell>
          <cell r="CY174">
            <v>25</v>
          </cell>
          <cell r="CZ174">
            <v>53.900000000000006</v>
          </cell>
          <cell r="DA174">
            <v>24.4</v>
          </cell>
          <cell r="DB174">
            <v>10.9</v>
          </cell>
          <cell r="DC174">
            <v>18.099999999999998</v>
          </cell>
          <cell r="DD174" t="str">
            <v>nd</v>
          </cell>
          <cell r="DE174">
            <v>59.099999999999994</v>
          </cell>
          <cell r="DF174">
            <v>20.200000000000003</v>
          </cell>
          <cell r="DG174">
            <v>7.0000000000000009</v>
          </cell>
          <cell r="DH174">
            <v>15.5</v>
          </cell>
          <cell r="DI174">
            <v>13.4</v>
          </cell>
          <cell r="DJ174">
            <v>19.2</v>
          </cell>
          <cell r="DK174">
            <v>24.7</v>
          </cell>
          <cell r="DL174">
            <v>25.2</v>
          </cell>
          <cell r="DM174">
            <v>35.799999999999997</v>
          </cell>
          <cell r="DN174">
            <v>6.2</v>
          </cell>
          <cell r="DO174">
            <v>26.400000000000002</v>
          </cell>
          <cell r="DP174">
            <v>4.9000000000000004</v>
          </cell>
          <cell r="DQ174">
            <v>0.5</v>
          </cell>
          <cell r="DR174">
            <v>7.7</v>
          </cell>
          <cell r="DS174">
            <v>8.1</v>
          </cell>
          <cell r="DT174">
            <v>21.5</v>
          </cell>
          <cell r="DU174">
            <v>0.48425400000000002</v>
          </cell>
          <cell r="DV174">
            <v>0.43306100000000003</v>
          </cell>
          <cell r="DW174" t="str">
            <v>nd</v>
          </cell>
          <cell r="DX174" t="str">
            <v>nd</v>
          </cell>
          <cell r="DY174">
            <v>2.0818500000000002</v>
          </cell>
          <cell r="DZ174">
            <v>7.5890756000000001</v>
          </cell>
          <cell r="EA174">
            <v>2.85337</v>
          </cell>
          <cell r="EB174">
            <v>1.57826</v>
          </cell>
          <cell r="EC174">
            <v>1.8866500000000002</v>
          </cell>
          <cell r="ED174">
            <v>1.29799</v>
          </cell>
          <cell r="EE174">
            <v>1.4471000000000001</v>
          </cell>
          <cell r="EF174">
            <v>18.518136700000003</v>
          </cell>
          <cell r="EG174">
            <v>3.7388999999999997</v>
          </cell>
          <cell r="EH174">
            <v>1.89008</v>
          </cell>
          <cell r="EI174">
            <v>1.72081</v>
          </cell>
          <cell r="EJ174">
            <v>1.4175899999999999</v>
          </cell>
          <cell r="EK174">
            <v>2.6088299999999998</v>
          </cell>
          <cell r="EL174">
            <v>30.194596499999999</v>
          </cell>
          <cell r="EM174">
            <v>2.0078</v>
          </cell>
          <cell r="EN174">
            <v>1.4313</v>
          </cell>
          <cell r="EO174">
            <v>1.21411</v>
          </cell>
          <cell r="EP174">
            <v>1.18059</v>
          </cell>
          <cell r="EQ174">
            <v>4.3411200000000001</v>
          </cell>
          <cell r="ER174">
            <v>7.7724500000000001</v>
          </cell>
          <cell r="ES174">
            <v>0.64992499999999997</v>
          </cell>
          <cell r="ET174">
            <v>0.21579899999999999</v>
          </cell>
          <cell r="EU174" t="str">
            <v>nd</v>
          </cell>
          <cell r="EV174" t="str">
            <v>nd</v>
          </cell>
          <cell r="EW174">
            <v>0.90498999999999996</v>
          </cell>
          <cell r="EX174">
            <v>0.11710799999999999</v>
          </cell>
          <cell r="EY174">
            <v>0.59273599999999993</v>
          </cell>
          <cell r="EZ174" t="str">
            <v>nd</v>
          </cell>
          <cell r="FA174" t="str">
            <v>nd</v>
          </cell>
          <cell r="FB174">
            <v>2.8250000000000002</v>
          </cell>
          <cell r="FC174">
            <v>0.78835</v>
          </cell>
          <cell r="FD174">
            <v>1.0317000000000001</v>
          </cell>
          <cell r="FE174">
            <v>0.50539900000000004</v>
          </cell>
          <cell r="FF174">
            <v>1.30446</v>
          </cell>
          <cell r="FG174">
            <v>2.3060899999999998</v>
          </cell>
          <cell r="FH174">
            <v>11.193612699999999</v>
          </cell>
          <cell r="FI174">
            <v>2.2193200000000002</v>
          </cell>
          <cell r="FJ174">
            <v>1.3187900000000001</v>
          </cell>
          <cell r="FK174">
            <v>1.7522800000000001</v>
          </cell>
          <cell r="FL174">
            <v>2.2695400000000001</v>
          </cell>
          <cell r="FM174">
            <v>4.8739999999999997</v>
          </cell>
          <cell r="FN174">
            <v>17.1144037</v>
          </cell>
          <cell r="FO174">
            <v>2.0264600000000002</v>
          </cell>
          <cell r="FP174">
            <v>1.54497</v>
          </cell>
          <cell r="FQ174">
            <v>1.34737</v>
          </cell>
          <cell r="FR174">
            <v>2.2996799999999999</v>
          </cell>
          <cell r="FS174">
            <v>5.2987099999999998</v>
          </cell>
          <cell r="FT174">
            <v>28.576105000000002</v>
          </cell>
          <cell r="FU174" t="str">
            <v>nd</v>
          </cell>
          <cell r="FV174">
            <v>0.15115000000000001</v>
          </cell>
          <cell r="FW174">
            <v>0.33610000000000001</v>
          </cell>
          <cell r="FX174">
            <v>0.440162</v>
          </cell>
          <cell r="FY174">
            <v>1.6513500000000001</v>
          </cell>
          <cell r="FZ174">
            <v>5.7781600000000006</v>
          </cell>
          <cell r="GA174">
            <v>2.1877400000000002</v>
          </cell>
          <cell r="GB174">
            <v>0.29544300000000001</v>
          </cell>
          <cell r="GC174">
            <v>8.0490900000000004E-2</v>
          </cell>
          <cell r="GD174">
            <v>0.169209</v>
          </cell>
          <cell r="GE174">
            <v>0.81533</v>
          </cell>
          <cell r="GF174">
            <v>0.96165</v>
          </cell>
          <cell r="GG174">
            <v>1.31569</v>
          </cell>
          <cell r="GH174">
            <v>1.4175500000000001</v>
          </cell>
          <cell r="GI174">
            <v>2.5670999999999999</v>
          </cell>
          <cell r="GJ174">
            <v>4.0009399999999999</v>
          </cell>
          <cell r="GK174">
            <v>6.6830718999999998</v>
          </cell>
          <cell r="GL174">
            <v>0.34673299999999996</v>
          </cell>
          <cell r="GM174">
            <v>0.80645</v>
          </cell>
          <cell r="GN174">
            <v>1.03162</v>
          </cell>
          <cell r="GO174">
            <v>2.1957599999999999</v>
          </cell>
          <cell r="GP174">
            <v>6.6441704000000001</v>
          </cell>
          <cell r="GQ174">
            <v>18.771506199999997</v>
          </cell>
          <cell r="GR174">
            <v>0.62465799999999994</v>
          </cell>
          <cell r="GS174" t="str">
            <v>nd</v>
          </cell>
          <cell r="GT174" t="str">
            <v>nd</v>
          </cell>
          <cell r="GU174">
            <v>0.82485000000000008</v>
          </cell>
          <cell r="GV174">
            <v>3.5361499999999997</v>
          </cell>
          <cell r="GW174">
            <v>35.3046012</v>
          </cell>
          <cell r="GX174">
            <v>0</v>
          </cell>
          <cell r="GY174">
            <v>0</v>
          </cell>
          <cell r="GZ174">
            <v>0</v>
          </cell>
          <cell r="HA174">
            <v>0.52318200000000004</v>
          </cell>
          <cell r="HB174">
            <v>1.0935999999999999</v>
          </cell>
          <cell r="HC174">
            <v>6.8238315999999992</v>
          </cell>
          <cell r="HD174">
            <v>0</v>
          </cell>
          <cell r="HE174">
            <v>0.88042999999999993</v>
          </cell>
          <cell r="HF174">
            <v>0</v>
          </cell>
          <cell r="HG174" t="str">
            <v>nd</v>
          </cell>
          <cell r="HH174">
            <v>2.82178</v>
          </cell>
          <cell r="HI174">
            <v>0</v>
          </cell>
          <cell r="HJ174">
            <v>0</v>
          </cell>
          <cell r="HK174" t="str">
            <v>nd</v>
          </cell>
          <cell r="HL174">
            <v>0.61191799999999996</v>
          </cell>
          <cell r="HM174">
            <v>6.1602100000000002</v>
          </cell>
          <cell r="HN174">
            <v>9.6450763999999989</v>
          </cell>
          <cell r="HO174">
            <v>0</v>
          </cell>
          <cell r="HP174">
            <v>0</v>
          </cell>
          <cell r="HQ174" t="str">
            <v>nd</v>
          </cell>
          <cell r="HR174">
            <v>0.78563999999999989</v>
          </cell>
          <cell r="HS174">
            <v>10.313811100000001</v>
          </cell>
          <cell r="HT174">
            <v>18.863980399999999</v>
          </cell>
          <cell r="HU174">
            <v>0</v>
          </cell>
          <cell r="HV174">
            <v>0</v>
          </cell>
          <cell r="HW174" t="str">
            <v>nd</v>
          </cell>
          <cell r="HX174">
            <v>1.5453400000000002</v>
          </cell>
          <cell r="HY174">
            <v>12.5904665</v>
          </cell>
          <cell r="HZ174">
            <v>26.592021799999998</v>
          </cell>
          <cell r="IA174">
            <v>0</v>
          </cell>
          <cell r="IB174">
            <v>0</v>
          </cell>
          <cell r="IC174">
            <v>0</v>
          </cell>
          <cell r="ID174">
            <v>0.30261900000000003</v>
          </cell>
          <cell r="IE174">
            <v>2.88767</v>
          </cell>
          <cell r="IF174">
            <v>5.7258000000000004</v>
          </cell>
          <cell r="IG174" t="str">
            <v>nd</v>
          </cell>
          <cell r="IH174">
            <v>0.506189</v>
          </cell>
          <cell r="II174">
            <v>0</v>
          </cell>
          <cell r="IJ174" t="str">
            <v>nd</v>
          </cell>
          <cell r="IK174">
            <v>3.0154700000000001</v>
          </cell>
          <cell r="IL174">
            <v>0</v>
          </cell>
          <cell r="IM174">
            <v>0.15978300000000001</v>
          </cell>
          <cell r="IN174">
            <v>0.24248999999999998</v>
          </cell>
          <cell r="IO174">
            <v>1.72062</v>
          </cell>
          <cell r="IP174">
            <v>4.3999800000000002</v>
          </cell>
          <cell r="IQ174">
            <v>10.2576444</v>
          </cell>
          <cell r="IR174">
            <v>0</v>
          </cell>
          <cell r="IS174" t="str">
            <v>nd</v>
          </cell>
          <cell r="IT174">
            <v>0.40080500000000002</v>
          </cell>
          <cell r="IU174">
            <v>2.8385099999999999</v>
          </cell>
          <cell r="IV174">
            <v>10.18205</v>
          </cell>
          <cell r="IW174">
            <v>16.831892200000002</v>
          </cell>
          <cell r="IX174">
            <v>0</v>
          </cell>
          <cell r="IY174">
            <v>0</v>
          </cell>
          <cell r="IZ174">
            <v>0.19769599999999998</v>
          </cell>
          <cell r="JA174">
            <v>2.86321</v>
          </cell>
          <cell r="JB174">
            <v>14.662016899999999</v>
          </cell>
          <cell r="JC174">
            <v>22.8049909</v>
          </cell>
          <cell r="JD174">
            <v>0</v>
          </cell>
          <cell r="JE174">
            <v>0</v>
          </cell>
          <cell r="JF174" t="str">
            <v>nd</v>
          </cell>
          <cell r="JG174">
            <v>0.67720999999999998</v>
          </cell>
          <cell r="JH174">
            <v>2.41215</v>
          </cell>
          <cell r="JI174">
            <v>5.1433800000000005</v>
          </cell>
          <cell r="JJ174">
            <v>0</v>
          </cell>
          <cell r="JK174">
            <v>0</v>
          </cell>
          <cell r="JL174">
            <v>0</v>
          </cell>
          <cell r="JM174">
            <v>0</v>
          </cell>
          <cell r="JN174">
            <v>3.6727599999999998</v>
          </cell>
          <cell r="JO174">
            <v>0</v>
          </cell>
          <cell r="JP174">
            <v>0</v>
          </cell>
          <cell r="JQ174" t="str">
            <v>nd</v>
          </cell>
          <cell r="JR174">
            <v>0</v>
          </cell>
          <cell r="JS174">
            <v>0.26083600000000001</v>
          </cell>
          <cell r="JT174">
            <v>16.482200799999998</v>
          </cell>
          <cell r="JU174">
            <v>0</v>
          </cell>
          <cell r="JV174">
            <v>0</v>
          </cell>
          <cell r="JW174">
            <v>0</v>
          </cell>
          <cell r="JX174" t="str">
            <v>nd</v>
          </cell>
          <cell r="JY174">
            <v>0.27962500000000001</v>
          </cell>
          <cell r="JZ174">
            <v>29.189609700000002</v>
          </cell>
          <cell r="KA174">
            <v>0</v>
          </cell>
          <cell r="KB174">
            <v>0</v>
          </cell>
          <cell r="KC174">
            <v>0</v>
          </cell>
          <cell r="KD174" t="str">
            <v>nd</v>
          </cell>
          <cell r="KE174">
            <v>0.37727899999999998</v>
          </cell>
          <cell r="KF174">
            <v>40.859901100000002</v>
          </cell>
          <cell r="KG174">
            <v>0</v>
          </cell>
          <cell r="KH174">
            <v>0</v>
          </cell>
          <cell r="KI174">
            <v>0</v>
          </cell>
          <cell r="KJ174">
            <v>0</v>
          </cell>
          <cell r="KK174" t="str">
            <v>nd</v>
          </cell>
          <cell r="KL174">
            <v>8.6062008999999993</v>
          </cell>
          <cell r="KM174">
            <v>70.5</v>
          </cell>
          <cell r="KN174">
            <v>11.799999999999999</v>
          </cell>
          <cell r="KO174">
            <v>9.1999999999999993</v>
          </cell>
          <cell r="KP174">
            <v>3.2</v>
          </cell>
          <cell r="KQ174">
            <v>5.2</v>
          </cell>
          <cell r="KR174">
            <v>0.1</v>
          </cell>
          <cell r="KS174">
            <v>69.699999999999989</v>
          </cell>
          <cell r="KT174">
            <v>11.700000000000001</v>
          </cell>
          <cell r="KU174">
            <v>9.5</v>
          </cell>
          <cell r="KV174">
            <v>3.4000000000000004</v>
          </cell>
          <cell r="KW174">
            <v>5.6000000000000005</v>
          </cell>
          <cell r="KX174">
            <v>0.1</v>
          </cell>
          <cell r="KY174"/>
          <cell r="KZ174"/>
          <cell r="LA174"/>
          <cell r="LB174"/>
          <cell r="LC174"/>
          <cell r="LD174"/>
          <cell r="LE174"/>
          <cell r="LF174"/>
          <cell r="LG174"/>
          <cell r="LH174"/>
          <cell r="LI174"/>
          <cell r="LJ174"/>
          <cell r="LK174"/>
          <cell r="LL174"/>
          <cell r="LM174"/>
          <cell r="LN174"/>
          <cell r="LO174"/>
        </row>
        <row r="175">
          <cell r="A175" t="str">
            <v>2EV2</v>
          </cell>
          <cell r="B175" t="str">
            <v>175</v>
          </cell>
          <cell r="C175" t="str">
            <v>NAF 4</v>
          </cell>
          <cell r="D175" t="str">
            <v>EV2</v>
          </cell>
          <cell r="E175" t="str">
            <v>2</v>
          </cell>
          <cell r="F175">
            <v>2.8000000000000003</v>
          </cell>
          <cell r="G175">
            <v>13.900000000000002</v>
          </cell>
          <cell r="H175">
            <v>32.9</v>
          </cell>
          <cell r="I175">
            <v>39.1</v>
          </cell>
          <cell r="J175">
            <v>11.3</v>
          </cell>
          <cell r="K175">
            <v>60.9</v>
          </cell>
          <cell r="L175">
            <v>28.4</v>
          </cell>
          <cell r="M175">
            <v>5.3</v>
          </cell>
          <cell r="N175">
            <v>5.3</v>
          </cell>
          <cell r="O175">
            <v>30.2</v>
          </cell>
          <cell r="P175">
            <v>30</v>
          </cell>
          <cell r="Q175">
            <v>13.200000000000001</v>
          </cell>
          <cell r="R175">
            <v>7.8</v>
          </cell>
          <cell r="S175">
            <v>13.600000000000001</v>
          </cell>
          <cell r="T175">
            <v>31.2</v>
          </cell>
          <cell r="U175">
            <v>9</v>
          </cell>
          <cell r="V175">
            <v>23.200000000000003</v>
          </cell>
          <cell r="W175">
            <v>14.7</v>
          </cell>
          <cell r="X175">
            <v>79.400000000000006</v>
          </cell>
          <cell r="Y175">
            <v>5.8999999999999995</v>
          </cell>
          <cell r="Z175">
            <v>5.0999999999999996</v>
          </cell>
          <cell r="AA175">
            <v>41.3</v>
          </cell>
          <cell r="AB175">
            <v>8</v>
          </cell>
          <cell r="AC175">
            <v>54.300000000000004</v>
          </cell>
          <cell r="AD175">
            <v>23.200000000000003</v>
          </cell>
          <cell r="AE175">
            <v>55.000000000000007</v>
          </cell>
          <cell r="AF175">
            <v>45</v>
          </cell>
          <cell r="AG175">
            <v>46.1</v>
          </cell>
          <cell r="AH175">
            <v>53.900000000000006</v>
          </cell>
          <cell r="AI175">
            <v>43.5</v>
          </cell>
          <cell r="AJ175">
            <v>19.600000000000001</v>
          </cell>
          <cell r="AK175">
            <v>2.4</v>
          </cell>
          <cell r="AL175">
            <v>27.700000000000003</v>
          </cell>
          <cell r="AM175">
            <v>6.8000000000000007</v>
          </cell>
          <cell r="AN175">
            <v>5.8999999999999995</v>
          </cell>
          <cell r="AO175">
            <v>2</v>
          </cell>
          <cell r="AP175">
            <v>3.8</v>
          </cell>
          <cell r="AQ175">
            <v>84.2</v>
          </cell>
          <cell r="AR175">
            <v>4</v>
          </cell>
          <cell r="AS175">
            <v>64.8</v>
          </cell>
          <cell r="AT175">
            <v>10.6</v>
          </cell>
          <cell r="AU175">
            <v>5.7</v>
          </cell>
          <cell r="AV175">
            <v>5.8999999999999995</v>
          </cell>
          <cell r="AW175">
            <v>5</v>
          </cell>
          <cell r="AX175">
            <v>8.1</v>
          </cell>
          <cell r="AY175">
            <v>4.9000000000000004</v>
          </cell>
          <cell r="AZ175">
            <v>5.5</v>
          </cell>
          <cell r="BA175">
            <v>4.7</v>
          </cell>
          <cell r="BB175">
            <v>6.7</v>
          </cell>
          <cell r="BC175">
            <v>20.3</v>
          </cell>
          <cell r="BD175">
            <v>57.999999999999993</v>
          </cell>
          <cell r="BE175">
            <v>2.9000000000000004</v>
          </cell>
          <cell r="BF175">
            <v>2.1</v>
          </cell>
          <cell r="BG175">
            <v>3.4000000000000004</v>
          </cell>
          <cell r="BH175">
            <v>5.5</v>
          </cell>
          <cell r="BI175">
            <v>24.9</v>
          </cell>
          <cell r="BJ175">
            <v>61.199999999999996</v>
          </cell>
          <cell r="BK175" t="str">
            <v>nd</v>
          </cell>
          <cell r="BL175" t="str">
            <v>nd</v>
          </cell>
          <cell r="BM175">
            <v>0.2</v>
          </cell>
          <cell r="BN175">
            <v>4.7</v>
          </cell>
          <cell r="BO175">
            <v>52.800000000000004</v>
          </cell>
          <cell r="BP175">
            <v>42.199999999999996</v>
          </cell>
          <cell r="BQ175">
            <v>0.5</v>
          </cell>
          <cell r="BR175">
            <v>0.3</v>
          </cell>
          <cell r="BS175">
            <v>1</v>
          </cell>
          <cell r="BT175">
            <v>9.5</v>
          </cell>
          <cell r="BU175">
            <v>49.2</v>
          </cell>
          <cell r="BV175">
            <v>39.5</v>
          </cell>
          <cell r="BW175">
            <v>0</v>
          </cell>
          <cell r="BX175">
            <v>0</v>
          </cell>
          <cell r="BY175">
            <v>0</v>
          </cell>
          <cell r="BZ175" t="str">
            <v>nd</v>
          </cell>
          <cell r="CA175">
            <v>1.5</v>
          </cell>
          <cell r="CB175">
            <v>98.4</v>
          </cell>
          <cell r="CC175">
            <v>15.9</v>
          </cell>
          <cell r="CD175">
            <v>7.0000000000000009</v>
          </cell>
          <cell r="CE175">
            <v>0.5</v>
          </cell>
          <cell r="CF175">
            <v>1.6</v>
          </cell>
          <cell r="CG175" t="str">
            <v>nd</v>
          </cell>
          <cell r="CH175">
            <v>17.100000000000001</v>
          </cell>
          <cell r="CI175">
            <v>8.4</v>
          </cell>
          <cell r="CJ175">
            <v>64.900000000000006</v>
          </cell>
          <cell r="CK175">
            <v>24.4</v>
          </cell>
          <cell r="CL175">
            <v>2.4</v>
          </cell>
          <cell r="CM175">
            <v>2.8000000000000003</v>
          </cell>
          <cell r="CN175">
            <v>2.1</v>
          </cell>
          <cell r="CO175">
            <v>74</v>
          </cell>
          <cell r="CP175">
            <v>21.8</v>
          </cell>
          <cell r="CQ175">
            <v>29.799999999999997</v>
          </cell>
          <cell r="CR175">
            <v>14.6</v>
          </cell>
          <cell r="CS175">
            <v>33.800000000000004</v>
          </cell>
          <cell r="CT175">
            <v>25.900000000000002</v>
          </cell>
          <cell r="CU175">
            <v>74.099999999999994</v>
          </cell>
          <cell r="CV175">
            <v>20.9</v>
          </cell>
          <cell r="CW175">
            <v>79.100000000000009</v>
          </cell>
          <cell r="CX175">
            <v>22.900000000000002</v>
          </cell>
          <cell r="CY175">
            <v>23.3</v>
          </cell>
          <cell r="CZ175">
            <v>53.900000000000006</v>
          </cell>
          <cell r="DA175">
            <v>33.200000000000003</v>
          </cell>
          <cell r="DB175">
            <v>10.100000000000001</v>
          </cell>
          <cell r="DC175">
            <v>10.6</v>
          </cell>
          <cell r="DD175">
            <v>1</v>
          </cell>
          <cell r="DE175">
            <v>60.6</v>
          </cell>
          <cell r="DF175">
            <v>18.8</v>
          </cell>
          <cell r="DG175">
            <v>7.9</v>
          </cell>
          <cell r="DH175">
            <v>17.899999999999999</v>
          </cell>
          <cell r="DI175">
            <v>14.000000000000002</v>
          </cell>
          <cell r="DJ175">
            <v>18.3</v>
          </cell>
          <cell r="DK175">
            <v>23.1</v>
          </cell>
          <cell r="DL175">
            <v>22.1</v>
          </cell>
          <cell r="DM175">
            <v>35.099999999999994</v>
          </cell>
          <cell r="DN175">
            <v>9.1999999999999993</v>
          </cell>
          <cell r="DO175">
            <v>27.3</v>
          </cell>
          <cell r="DP175">
            <v>6.7</v>
          </cell>
          <cell r="DQ175">
            <v>1</v>
          </cell>
          <cell r="DR175">
            <v>6.6000000000000005</v>
          </cell>
          <cell r="DS175">
            <v>14.2</v>
          </cell>
          <cell r="DT175">
            <v>22.2</v>
          </cell>
          <cell r="DU175">
            <v>0.40791699999999997</v>
          </cell>
          <cell r="DV175">
            <v>0.71044799999999997</v>
          </cell>
          <cell r="DW175" t="str">
            <v>nd</v>
          </cell>
          <cell r="DX175">
            <v>0.25090499999999999</v>
          </cell>
          <cell r="DY175">
            <v>0.9188099999999999</v>
          </cell>
          <cell r="DZ175">
            <v>5.1540500000000007</v>
          </cell>
          <cell r="EA175">
            <v>2.6793500000000003</v>
          </cell>
          <cell r="EB175">
            <v>2.3917799999999998</v>
          </cell>
          <cell r="EC175">
            <v>1.96671</v>
          </cell>
          <cell r="ED175">
            <v>1.21315</v>
          </cell>
          <cell r="EE175">
            <v>0.46595400000000003</v>
          </cell>
          <cell r="EF175">
            <v>20.146481899999998</v>
          </cell>
          <cell r="EG175">
            <v>4.7723599999999999</v>
          </cell>
          <cell r="EH175">
            <v>1.92669</v>
          </cell>
          <cell r="EI175">
            <v>2.0184799999999998</v>
          </cell>
          <cell r="EJ175">
            <v>1.72401</v>
          </cell>
          <cell r="EK175">
            <v>2.2698200000000002</v>
          </cell>
          <cell r="EL175">
            <v>30.254120499999999</v>
          </cell>
          <cell r="EM175">
            <v>2.40909</v>
          </cell>
          <cell r="EN175">
            <v>0.96334999999999993</v>
          </cell>
          <cell r="EO175">
            <v>1.2889599999999999</v>
          </cell>
          <cell r="EP175">
            <v>1.1141699999999999</v>
          </cell>
          <cell r="EQ175">
            <v>3.0239400000000001</v>
          </cell>
          <cell r="ER175">
            <v>8.7451229000000001</v>
          </cell>
          <cell r="ES175">
            <v>0.70819999999999994</v>
          </cell>
          <cell r="ET175">
            <v>0.26536900000000002</v>
          </cell>
          <cell r="EU175">
            <v>0.41675599999999996</v>
          </cell>
          <cell r="EV175">
            <v>0.19708199999999998</v>
          </cell>
          <cell r="EW175">
            <v>1.4033500000000001</v>
          </cell>
          <cell r="EX175" t="str">
            <v>nd</v>
          </cell>
          <cell r="EY175">
            <v>0.83462999999999987</v>
          </cell>
          <cell r="EZ175">
            <v>0</v>
          </cell>
          <cell r="FA175">
            <v>0.353383</v>
          </cell>
          <cell r="FB175">
            <v>1.4837499999999999</v>
          </cell>
          <cell r="FC175">
            <v>0.68652599999999997</v>
          </cell>
          <cell r="FD175">
            <v>0.82879000000000014</v>
          </cell>
          <cell r="FE175">
            <v>1.0085999999999999</v>
          </cell>
          <cell r="FF175">
            <v>0.81586000000000003</v>
          </cell>
          <cell r="FG175">
            <v>2.8529900000000001</v>
          </cell>
          <cell r="FH175">
            <v>7.4117765000000002</v>
          </cell>
          <cell r="FI175">
            <v>1.8043500000000001</v>
          </cell>
          <cell r="FJ175">
            <v>2.15076</v>
          </cell>
          <cell r="FK175">
            <v>2.0012400000000001</v>
          </cell>
          <cell r="FL175">
            <v>2.1003399999999997</v>
          </cell>
          <cell r="FM175">
            <v>6.5592673000000001</v>
          </cell>
          <cell r="FN175">
            <v>18.5037585</v>
          </cell>
          <cell r="FO175">
            <v>2.1111800000000001</v>
          </cell>
          <cell r="FP175">
            <v>1.78688</v>
          </cell>
          <cell r="FQ175">
            <v>1.4265699999999999</v>
          </cell>
          <cell r="FR175">
            <v>2.3434599999999999</v>
          </cell>
          <cell r="FS175">
            <v>8.0476118999999997</v>
          </cell>
          <cell r="FT175">
            <v>23.140957499999999</v>
          </cell>
          <cell r="FU175">
            <v>0.23900800000000003</v>
          </cell>
          <cell r="FV175">
            <v>0.56262900000000005</v>
          </cell>
          <cell r="FW175">
            <v>0.24798899999999999</v>
          </cell>
          <cell r="FX175">
            <v>1.1434800000000001</v>
          </cell>
          <cell r="FY175">
            <v>1.92042</v>
          </cell>
          <cell r="FZ175">
            <v>7.4589646999999992</v>
          </cell>
          <cell r="GA175">
            <v>1.448</v>
          </cell>
          <cell r="GB175">
            <v>0.134857</v>
          </cell>
          <cell r="GC175">
            <v>0.24571699999999999</v>
          </cell>
          <cell r="GD175">
            <v>0.101661</v>
          </cell>
          <cell r="GE175">
            <v>0.52751199999999998</v>
          </cell>
          <cell r="GF175">
            <v>0.61985000000000001</v>
          </cell>
          <cell r="GG175">
            <v>0.9971000000000001</v>
          </cell>
          <cell r="GH175">
            <v>2.3125300000000002</v>
          </cell>
          <cell r="GI175">
            <v>1.71556</v>
          </cell>
          <cell r="GJ175">
            <v>4.0302800000000003</v>
          </cell>
          <cell r="GK175">
            <v>4.4501100000000005</v>
          </cell>
          <cell r="GL175">
            <v>0.55567699999999998</v>
          </cell>
          <cell r="GM175">
            <v>0.27139799999999997</v>
          </cell>
          <cell r="GN175">
            <v>0.80979000000000001</v>
          </cell>
          <cell r="GO175">
            <v>3.1271399999999998</v>
          </cell>
          <cell r="GP175">
            <v>10.882025500000001</v>
          </cell>
          <cell r="GQ175">
            <v>17.1419934</v>
          </cell>
          <cell r="GR175">
            <v>0.24042299999999997</v>
          </cell>
          <cell r="GS175">
            <v>0.29252400000000001</v>
          </cell>
          <cell r="GT175" t="str">
            <v>nd</v>
          </cell>
          <cell r="GU175">
            <v>0.49998400000000004</v>
          </cell>
          <cell r="GV175">
            <v>7.5141387000000002</v>
          </cell>
          <cell r="GW175">
            <v>30.134379900000003</v>
          </cell>
          <cell r="GX175">
            <v>0</v>
          </cell>
          <cell r="GY175">
            <v>8.4025799999999998E-2</v>
          </cell>
          <cell r="GZ175">
            <v>0</v>
          </cell>
          <cell r="HA175" t="str">
            <v>nd</v>
          </cell>
          <cell r="HB175">
            <v>2.4521000000000002</v>
          </cell>
          <cell r="HC175">
            <v>8.8542985000000005</v>
          </cell>
          <cell r="HD175">
            <v>0</v>
          </cell>
          <cell r="HE175">
            <v>1.22366</v>
          </cell>
          <cell r="HF175">
            <v>0</v>
          </cell>
          <cell r="HG175" t="str">
            <v>nd</v>
          </cell>
          <cell r="HH175">
            <v>1.4262900000000001</v>
          </cell>
          <cell r="HI175">
            <v>0</v>
          </cell>
          <cell r="HJ175">
            <v>0</v>
          </cell>
          <cell r="HK175" t="str">
            <v>nd</v>
          </cell>
          <cell r="HL175">
            <v>0.63891699999999996</v>
          </cell>
          <cell r="HM175">
            <v>6.3761040000000007</v>
          </cell>
          <cell r="HN175">
            <v>6.9365011000000001</v>
          </cell>
          <cell r="HO175">
            <v>0</v>
          </cell>
          <cell r="HP175">
            <v>0</v>
          </cell>
          <cell r="HQ175" t="str">
            <v>nd</v>
          </cell>
          <cell r="HR175">
            <v>1.61134</v>
          </cell>
          <cell r="HS175">
            <v>17.693052900000001</v>
          </cell>
          <cell r="HT175">
            <v>13.454006</v>
          </cell>
          <cell r="HU175" t="str">
            <v>nd</v>
          </cell>
          <cell r="HV175">
            <v>0</v>
          </cell>
          <cell r="HW175" t="str">
            <v>nd</v>
          </cell>
          <cell r="HX175">
            <v>1.8025800000000001</v>
          </cell>
          <cell r="HY175">
            <v>20.8876439</v>
          </cell>
          <cell r="HZ175">
            <v>16.1714117</v>
          </cell>
          <cell r="IA175">
            <v>0</v>
          </cell>
          <cell r="IB175" t="str">
            <v>nd</v>
          </cell>
          <cell r="IC175">
            <v>0</v>
          </cell>
          <cell r="ID175">
            <v>0.62367499999999998</v>
          </cell>
          <cell r="IE175">
            <v>6.7203767000000001</v>
          </cell>
          <cell r="IF175">
            <v>4.0740299999999996</v>
          </cell>
          <cell r="IG175" t="str">
            <v>nd</v>
          </cell>
          <cell r="IH175">
            <v>0.51341399999999993</v>
          </cell>
          <cell r="II175" t="str">
            <v>nd</v>
          </cell>
          <cell r="IJ175">
            <v>0.33993000000000001</v>
          </cell>
          <cell r="IK175">
            <v>1.5057900000000002</v>
          </cell>
          <cell r="IL175">
            <v>0.29220000000000002</v>
          </cell>
          <cell r="IM175" t="str">
            <v>nd</v>
          </cell>
          <cell r="IN175" t="str">
            <v>nd</v>
          </cell>
          <cell r="IO175">
            <v>1.7673700000000001</v>
          </cell>
          <cell r="IP175">
            <v>5.6123600000000007</v>
          </cell>
          <cell r="IQ175">
            <v>6.1249599999999997</v>
          </cell>
          <cell r="IR175">
            <v>0</v>
          </cell>
          <cell r="IS175">
            <v>9.3688999999999995E-2</v>
          </cell>
          <cell r="IT175">
            <v>0.32173800000000002</v>
          </cell>
          <cell r="IU175">
            <v>2.8704499999999999</v>
          </cell>
          <cell r="IV175">
            <v>17.128826699999998</v>
          </cell>
          <cell r="IW175">
            <v>12.8132146</v>
          </cell>
          <cell r="IX175" t="str">
            <v>nd</v>
          </cell>
          <cell r="IY175">
            <v>0</v>
          </cell>
          <cell r="IZ175">
            <v>0.35556300000000002</v>
          </cell>
          <cell r="JA175">
            <v>3.2130400000000003</v>
          </cell>
          <cell r="JB175">
            <v>19.863525800000001</v>
          </cell>
          <cell r="JC175">
            <v>15.120357800000001</v>
          </cell>
          <cell r="JD175">
            <v>0</v>
          </cell>
          <cell r="JE175" t="str">
            <v>nd</v>
          </cell>
          <cell r="JF175" t="str">
            <v>nd</v>
          </cell>
          <cell r="JG175">
            <v>1.3593</v>
          </cell>
          <cell r="JH175">
            <v>6.0780000000000003</v>
          </cell>
          <cell r="JI175">
            <v>3.9766299999999997</v>
          </cell>
          <cell r="JJ175">
            <v>0</v>
          </cell>
          <cell r="JK175">
            <v>0</v>
          </cell>
          <cell r="JL175">
            <v>0</v>
          </cell>
          <cell r="JM175">
            <v>0</v>
          </cell>
          <cell r="JN175">
            <v>2.62425</v>
          </cell>
          <cell r="JO175">
            <v>0</v>
          </cell>
          <cell r="JP175">
            <v>0</v>
          </cell>
          <cell r="JQ175">
            <v>0</v>
          </cell>
          <cell r="JR175">
            <v>0</v>
          </cell>
          <cell r="JS175">
            <v>0.15796199999999999</v>
          </cell>
          <cell r="JT175">
            <v>13.483746599999998</v>
          </cell>
          <cell r="JU175">
            <v>0</v>
          </cell>
          <cell r="JV175">
            <v>0</v>
          </cell>
          <cell r="JW175">
            <v>0</v>
          </cell>
          <cell r="JX175">
            <v>0</v>
          </cell>
          <cell r="JY175">
            <v>0.71569800000000006</v>
          </cell>
          <cell r="JZ175">
            <v>32.595221800000004</v>
          </cell>
          <cell r="KA175">
            <v>0</v>
          </cell>
          <cell r="KB175">
            <v>0</v>
          </cell>
          <cell r="KC175">
            <v>0</v>
          </cell>
          <cell r="KD175" t="str">
            <v>nd</v>
          </cell>
          <cell r="KE175">
            <v>0.60810200000000003</v>
          </cell>
          <cell r="KF175">
            <v>38.124444799999999</v>
          </cell>
          <cell r="KG175">
            <v>0</v>
          </cell>
          <cell r="KH175">
            <v>0</v>
          </cell>
          <cell r="KI175">
            <v>0</v>
          </cell>
          <cell r="KJ175">
            <v>0</v>
          </cell>
          <cell r="KK175" t="str">
            <v>nd</v>
          </cell>
          <cell r="KL175">
            <v>11.6114245</v>
          </cell>
          <cell r="KM175">
            <v>68.2</v>
          </cell>
          <cell r="KN175">
            <v>12.2</v>
          </cell>
          <cell r="KO175">
            <v>8.2000000000000011</v>
          </cell>
          <cell r="KP175">
            <v>4.8</v>
          </cell>
          <cell r="KQ175">
            <v>6.4</v>
          </cell>
          <cell r="KR175">
            <v>0.1</v>
          </cell>
          <cell r="KS175">
            <v>67.5</v>
          </cell>
          <cell r="KT175">
            <v>12.2</v>
          </cell>
          <cell r="KU175">
            <v>8.3000000000000007</v>
          </cell>
          <cell r="KV175">
            <v>5.0999999999999996</v>
          </cell>
          <cell r="KW175">
            <v>6.9</v>
          </cell>
          <cell r="KX175">
            <v>0.1</v>
          </cell>
          <cell r="KY175"/>
          <cell r="KZ175"/>
          <cell r="LA175"/>
          <cell r="LB175"/>
          <cell r="LC175"/>
          <cell r="LD175"/>
          <cell r="LE175"/>
          <cell r="LF175"/>
          <cell r="LG175"/>
          <cell r="LH175"/>
          <cell r="LI175"/>
          <cell r="LJ175"/>
          <cell r="LK175"/>
          <cell r="LL175"/>
          <cell r="LM175"/>
          <cell r="LN175"/>
          <cell r="LO175"/>
        </row>
        <row r="176">
          <cell r="A176" t="str">
            <v>3EV2</v>
          </cell>
          <cell r="B176" t="str">
            <v>176</v>
          </cell>
          <cell r="C176" t="str">
            <v>NAF 4</v>
          </cell>
          <cell r="D176" t="str">
            <v>EV2</v>
          </cell>
          <cell r="E176" t="str">
            <v>3</v>
          </cell>
          <cell r="F176">
            <v>2.1</v>
          </cell>
          <cell r="G176">
            <v>10.299999999999999</v>
          </cell>
          <cell r="H176">
            <v>32.5</v>
          </cell>
          <cell r="I176">
            <v>44.2</v>
          </cell>
          <cell r="J176">
            <v>10.9</v>
          </cell>
          <cell r="K176">
            <v>59.599999999999994</v>
          </cell>
          <cell r="L176">
            <v>27.900000000000002</v>
          </cell>
          <cell r="M176">
            <v>5.8999999999999995</v>
          </cell>
          <cell r="N176">
            <v>6.6000000000000005</v>
          </cell>
          <cell r="O176">
            <v>27.500000000000004</v>
          </cell>
          <cell r="P176">
            <v>35.199999999999996</v>
          </cell>
          <cell r="Q176">
            <v>12</v>
          </cell>
          <cell r="R176">
            <v>7.1999999999999993</v>
          </cell>
          <cell r="S176">
            <v>14.000000000000002</v>
          </cell>
          <cell r="T176">
            <v>27.500000000000004</v>
          </cell>
          <cell r="U176">
            <v>9.4</v>
          </cell>
          <cell r="V176">
            <v>21.8</v>
          </cell>
          <cell r="W176">
            <v>13.3</v>
          </cell>
          <cell r="X176">
            <v>79.3</v>
          </cell>
          <cell r="Y176">
            <v>7.3999999999999995</v>
          </cell>
          <cell r="Z176">
            <v>7.1</v>
          </cell>
          <cell r="AA176">
            <v>41.699999999999996</v>
          </cell>
          <cell r="AB176">
            <v>13.4</v>
          </cell>
          <cell r="AC176">
            <v>57.499999999999993</v>
          </cell>
          <cell r="AD176">
            <v>24.4</v>
          </cell>
          <cell r="AE176">
            <v>56.000000000000007</v>
          </cell>
          <cell r="AF176">
            <v>44</v>
          </cell>
          <cell r="AG176">
            <v>56.2</v>
          </cell>
          <cell r="AH176">
            <v>43.8</v>
          </cell>
          <cell r="AI176">
            <v>40.6</v>
          </cell>
          <cell r="AJ176">
            <v>17.299999999999997</v>
          </cell>
          <cell r="AK176">
            <v>2</v>
          </cell>
          <cell r="AL176">
            <v>34.699999999999996</v>
          </cell>
          <cell r="AM176">
            <v>5.4</v>
          </cell>
          <cell r="AN176">
            <v>7.5</v>
          </cell>
          <cell r="AO176">
            <v>3.1</v>
          </cell>
          <cell r="AP176">
            <v>2.5</v>
          </cell>
          <cell r="AQ176">
            <v>80.600000000000009</v>
          </cell>
          <cell r="AR176">
            <v>6.3</v>
          </cell>
          <cell r="AS176">
            <v>63.4</v>
          </cell>
          <cell r="AT176">
            <v>12.2</v>
          </cell>
          <cell r="AU176">
            <v>5.8000000000000007</v>
          </cell>
          <cell r="AV176">
            <v>6</v>
          </cell>
          <cell r="AW176">
            <v>6.3</v>
          </cell>
          <cell r="AX176">
            <v>6.2</v>
          </cell>
          <cell r="AY176">
            <v>6.7</v>
          </cell>
          <cell r="AZ176">
            <v>7.3</v>
          </cell>
          <cell r="BA176">
            <v>4.7</v>
          </cell>
          <cell r="BB176">
            <v>6.2</v>
          </cell>
          <cell r="BC176">
            <v>21.7</v>
          </cell>
          <cell r="BD176">
            <v>53.300000000000004</v>
          </cell>
          <cell r="BE176">
            <v>1.3</v>
          </cell>
          <cell r="BF176">
            <v>1.7000000000000002</v>
          </cell>
          <cell r="BG176">
            <v>1.7000000000000002</v>
          </cell>
          <cell r="BH176">
            <v>6.1</v>
          </cell>
          <cell r="BI176">
            <v>29.5</v>
          </cell>
          <cell r="BJ176">
            <v>59.599999999999994</v>
          </cell>
          <cell r="BK176">
            <v>0</v>
          </cell>
          <cell r="BL176">
            <v>0</v>
          </cell>
          <cell r="BM176">
            <v>0.2</v>
          </cell>
          <cell r="BN176">
            <v>8.2000000000000011</v>
          </cell>
          <cell r="BO176">
            <v>65.5</v>
          </cell>
          <cell r="BP176">
            <v>26</v>
          </cell>
          <cell r="BQ176" t="str">
            <v>nd</v>
          </cell>
          <cell r="BR176">
            <v>0.3</v>
          </cell>
          <cell r="BS176">
            <v>1.0999999999999999</v>
          </cell>
          <cell r="BT176">
            <v>11.700000000000001</v>
          </cell>
          <cell r="BU176">
            <v>62.2</v>
          </cell>
          <cell r="BV176">
            <v>24.6</v>
          </cell>
          <cell r="BW176">
            <v>0</v>
          </cell>
          <cell r="BX176">
            <v>0</v>
          </cell>
          <cell r="BY176">
            <v>0</v>
          </cell>
          <cell r="BZ176" t="str">
            <v>nd</v>
          </cell>
          <cell r="CA176">
            <v>1.0999999999999999</v>
          </cell>
          <cell r="CB176">
            <v>98.9</v>
          </cell>
          <cell r="CC176">
            <v>17.299999999999997</v>
          </cell>
          <cell r="CD176">
            <v>8.9</v>
          </cell>
          <cell r="CE176">
            <v>0.8</v>
          </cell>
          <cell r="CF176">
            <v>2</v>
          </cell>
          <cell r="CG176">
            <v>0.3</v>
          </cell>
          <cell r="CH176">
            <v>16.7</v>
          </cell>
          <cell r="CI176">
            <v>9.8000000000000007</v>
          </cell>
          <cell r="CJ176">
            <v>63.3</v>
          </cell>
          <cell r="CK176">
            <v>26.6</v>
          </cell>
          <cell r="CL176">
            <v>2.7</v>
          </cell>
          <cell r="CM176">
            <v>4.1000000000000005</v>
          </cell>
          <cell r="CN176">
            <v>2.8000000000000003</v>
          </cell>
          <cell r="CO176">
            <v>71.8</v>
          </cell>
          <cell r="CP176">
            <v>22.7</v>
          </cell>
          <cell r="CQ176">
            <v>30.9</v>
          </cell>
          <cell r="CR176">
            <v>13</v>
          </cell>
          <cell r="CS176">
            <v>33.4</v>
          </cell>
          <cell r="CT176">
            <v>27.900000000000002</v>
          </cell>
          <cell r="CU176">
            <v>72.099999999999994</v>
          </cell>
          <cell r="CV176">
            <v>24.5</v>
          </cell>
          <cell r="CW176">
            <v>75.5</v>
          </cell>
          <cell r="CX176">
            <v>24.9</v>
          </cell>
          <cell r="CY176">
            <v>22.8</v>
          </cell>
          <cell r="CZ176">
            <v>52.300000000000004</v>
          </cell>
          <cell r="DA176">
            <v>36.700000000000003</v>
          </cell>
          <cell r="DB176">
            <v>4.3999999999999995</v>
          </cell>
          <cell r="DC176">
            <v>20.5</v>
          </cell>
          <cell r="DD176">
            <v>2.1999999999999997</v>
          </cell>
          <cell r="DE176">
            <v>52.800000000000004</v>
          </cell>
          <cell r="DF176">
            <v>21.4</v>
          </cell>
          <cell r="DG176">
            <v>9.8000000000000007</v>
          </cell>
          <cell r="DH176">
            <v>20</v>
          </cell>
          <cell r="DI176">
            <v>12</v>
          </cell>
          <cell r="DJ176">
            <v>15.5</v>
          </cell>
          <cell r="DK176">
            <v>21.3</v>
          </cell>
          <cell r="DL176">
            <v>19.7</v>
          </cell>
          <cell r="DM176">
            <v>33.800000000000004</v>
          </cell>
          <cell r="DN176">
            <v>11.4</v>
          </cell>
          <cell r="DO176">
            <v>28.799999999999997</v>
          </cell>
          <cell r="DP176">
            <v>8.4</v>
          </cell>
          <cell r="DQ176">
            <v>2.4</v>
          </cell>
          <cell r="DR176">
            <v>7.1</v>
          </cell>
          <cell r="DS176">
            <v>16.600000000000001</v>
          </cell>
          <cell r="DT176">
            <v>21.9</v>
          </cell>
          <cell r="DU176">
            <v>0.321741</v>
          </cell>
          <cell r="DV176">
            <v>0.78983000000000003</v>
          </cell>
          <cell r="DW176">
            <v>0.10417</v>
          </cell>
          <cell r="DX176">
            <v>0.282003</v>
          </cell>
          <cell r="DY176">
            <v>0.31789000000000001</v>
          </cell>
          <cell r="DZ176">
            <v>4.3125099999999996</v>
          </cell>
          <cell r="EA176">
            <v>1.8763399999999999</v>
          </cell>
          <cell r="EB176">
            <v>1.3130200000000001</v>
          </cell>
          <cell r="EC176">
            <v>1.1096999999999999</v>
          </cell>
          <cell r="ED176">
            <v>0.87617999999999996</v>
          </cell>
          <cell r="EE176">
            <v>0.81398000000000004</v>
          </cell>
          <cell r="EF176">
            <v>18.089177800000002</v>
          </cell>
          <cell r="EG176">
            <v>5.4144800000000002</v>
          </cell>
          <cell r="EH176">
            <v>2.2954499999999998</v>
          </cell>
          <cell r="EI176">
            <v>2.6811700000000003</v>
          </cell>
          <cell r="EJ176">
            <v>2.5118499999999999</v>
          </cell>
          <cell r="EK176">
            <v>1.7200799999999998</v>
          </cell>
          <cell r="EL176">
            <v>32.330922800000003</v>
          </cell>
          <cell r="EM176">
            <v>3.66818</v>
          </cell>
          <cell r="EN176">
            <v>1.6360300000000001</v>
          </cell>
          <cell r="EO176">
            <v>1.7734199999999998</v>
          </cell>
          <cell r="EP176">
            <v>1.9985900000000001</v>
          </cell>
          <cell r="EQ176">
            <v>2.4748999999999999</v>
          </cell>
          <cell r="ER176">
            <v>8.3323704000000003</v>
          </cell>
          <cell r="ES176">
            <v>0.98521000000000003</v>
          </cell>
          <cell r="ET176">
            <v>0.47942099999999999</v>
          </cell>
          <cell r="EU176">
            <v>0.17546700000000001</v>
          </cell>
          <cell r="EV176">
            <v>0.14496500000000001</v>
          </cell>
          <cell r="EW176">
            <v>0.91020999999999996</v>
          </cell>
          <cell r="EX176" t="str">
            <v>nd</v>
          </cell>
          <cell r="EY176">
            <v>0.60416000000000003</v>
          </cell>
          <cell r="EZ176" t="str">
            <v>nd</v>
          </cell>
          <cell r="FA176" t="str">
            <v>nd</v>
          </cell>
          <cell r="FB176">
            <v>0.92782999999999993</v>
          </cell>
          <cell r="FC176">
            <v>0.8101799999999999</v>
          </cell>
          <cell r="FD176">
            <v>0.673543</v>
          </cell>
          <cell r="FE176">
            <v>0.285387</v>
          </cell>
          <cell r="FF176">
            <v>0.69819699999999996</v>
          </cell>
          <cell r="FG176">
            <v>3.2607200000000001</v>
          </cell>
          <cell r="FH176">
            <v>4.6082999999999998</v>
          </cell>
          <cell r="FI176">
            <v>2.45181</v>
          </cell>
          <cell r="FJ176">
            <v>3.5448200000000001</v>
          </cell>
          <cell r="FK176">
            <v>2.0163000000000002</v>
          </cell>
          <cell r="FL176">
            <v>2.2528200000000003</v>
          </cell>
          <cell r="FM176">
            <v>7.4300439999999996</v>
          </cell>
          <cell r="FN176">
            <v>14.9794903</v>
          </cell>
          <cell r="FO176">
            <v>2.99099</v>
          </cell>
          <cell r="FP176">
            <v>2.6892099999999997</v>
          </cell>
          <cell r="FQ176">
            <v>1.7923499999999999</v>
          </cell>
          <cell r="FR176">
            <v>2.5831499999999998</v>
          </cell>
          <cell r="FS176">
            <v>7.8488134000000001</v>
          </cell>
          <cell r="FT176">
            <v>26.571590899999997</v>
          </cell>
          <cell r="FU176">
            <v>0.26926800000000001</v>
          </cell>
          <cell r="FV176">
            <v>0.35463800000000001</v>
          </cell>
          <cell r="FW176">
            <v>0.56729200000000002</v>
          </cell>
          <cell r="FX176">
            <v>0.49647399999999997</v>
          </cell>
          <cell r="FY176">
            <v>2.6055299999999999</v>
          </cell>
          <cell r="FZ176">
            <v>6.2164299999999999</v>
          </cell>
          <cell r="GA176">
            <v>0.60122699999999996</v>
          </cell>
          <cell r="GB176">
            <v>0.36805300000000002</v>
          </cell>
          <cell r="GC176">
            <v>0</v>
          </cell>
          <cell r="GD176">
            <v>0.202928</v>
          </cell>
          <cell r="GE176">
            <v>0.33157599999999998</v>
          </cell>
          <cell r="GF176">
            <v>0.34278400000000003</v>
          </cell>
          <cell r="GG176">
            <v>0.99089000000000005</v>
          </cell>
          <cell r="GH176">
            <v>0.88491999999999993</v>
          </cell>
          <cell r="GI176">
            <v>1.76044</v>
          </cell>
          <cell r="GJ176">
            <v>3.1057100000000002</v>
          </cell>
          <cell r="GK176">
            <v>3.26973</v>
          </cell>
          <cell r="GL176">
            <v>0.14863799999999999</v>
          </cell>
          <cell r="GM176">
            <v>0.18465899999999999</v>
          </cell>
          <cell r="GN176">
            <v>0.63449800000000001</v>
          </cell>
          <cell r="GO176">
            <v>3.3979299999999997</v>
          </cell>
          <cell r="GP176">
            <v>12.530577500000001</v>
          </cell>
          <cell r="GQ176">
            <v>16.266381299999999</v>
          </cell>
          <cell r="GR176" t="str">
            <v>nd</v>
          </cell>
          <cell r="GS176" t="str">
            <v>nd</v>
          </cell>
          <cell r="GT176" t="str">
            <v>nd</v>
          </cell>
          <cell r="GU176">
            <v>0.53332600000000008</v>
          </cell>
          <cell r="GV176">
            <v>9.7917041000000005</v>
          </cell>
          <cell r="GW176">
            <v>33.044548499999998</v>
          </cell>
          <cell r="GX176" t="str">
            <v>nd</v>
          </cell>
          <cell r="GY176" t="str">
            <v>nd</v>
          </cell>
          <cell r="GZ176" t="str">
            <v>nd</v>
          </cell>
          <cell r="HA176">
            <v>0.19189299999999998</v>
          </cell>
          <cell r="HB176">
            <v>3.7869899999999999</v>
          </cell>
          <cell r="HC176">
            <v>6.6938136999999998</v>
          </cell>
          <cell r="HD176">
            <v>0</v>
          </cell>
          <cell r="HE176">
            <v>0.73497099999999993</v>
          </cell>
          <cell r="HF176">
            <v>0</v>
          </cell>
          <cell r="HG176" t="str">
            <v>nd</v>
          </cell>
          <cell r="HH176">
            <v>1.1937500000000001</v>
          </cell>
          <cell r="HI176">
            <v>0</v>
          </cell>
          <cell r="HJ176">
            <v>0</v>
          </cell>
          <cell r="HK176">
            <v>0</v>
          </cell>
          <cell r="HL176">
            <v>0.47361300000000001</v>
          </cell>
          <cell r="HM176">
            <v>6.2942331000000005</v>
          </cell>
          <cell r="HN176">
            <v>3.7219199999999999</v>
          </cell>
          <cell r="HO176">
            <v>0</v>
          </cell>
          <cell r="HP176">
            <v>0</v>
          </cell>
          <cell r="HQ176" t="str">
            <v>nd</v>
          </cell>
          <cell r="HR176">
            <v>3.4443599999999996</v>
          </cell>
          <cell r="HS176">
            <v>21.014004499999999</v>
          </cell>
          <cell r="HT176">
            <v>8.2093153000000001</v>
          </cell>
          <cell r="HU176">
            <v>0</v>
          </cell>
          <cell r="HV176">
            <v>0</v>
          </cell>
          <cell r="HW176" t="str">
            <v>nd</v>
          </cell>
          <cell r="HX176">
            <v>3.0135800000000001</v>
          </cell>
          <cell r="HY176">
            <v>29.692516299999998</v>
          </cell>
          <cell r="HZ176">
            <v>11.035770299999999</v>
          </cell>
          <cell r="IA176">
            <v>0</v>
          </cell>
          <cell r="IB176">
            <v>0</v>
          </cell>
          <cell r="IC176">
            <v>0</v>
          </cell>
          <cell r="ID176">
            <v>1.1932399999999999</v>
          </cell>
          <cell r="IE176">
            <v>7.7191014000000004</v>
          </cell>
          <cell r="IF176">
            <v>1.8878700000000002</v>
          </cell>
          <cell r="IG176">
            <v>0</v>
          </cell>
          <cell r="IH176">
            <v>0.744143</v>
          </cell>
          <cell r="II176" t="str">
            <v>nd</v>
          </cell>
          <cell r="IJ176">
            <v>0.12002200000000002</v>
          </cell>
          <cell r="IK176">
            <v>1.15774</v>
          </cell>
          <cell r="IL176">
            <v>0</v>
          </cell>
          <cell r="IM176">
            <v>0.175762</v>
          </cell>
          <cell r="IN176">
            <v>0.25675400000000004</v>
          </cell>
          <cell r="IO176">
            <v>1.2058800000000001</v>
          </cell>
          <cell r="IP176">
            <v>5.1904199999999996</v>
          </cell>
          <cell r="IQ176">
            <v>3.4721000000000002</v>
          </cell>
          <cell r="IR176" t="str">
            <v>nd</v>
          </cell>
          <cell r="IS176" t="str">
            <v>nd</v>
          </cell>
          <cell r="IT176">
            <v>0.15370700000000001</v>
          </cell>
          <cell r="IU176">
            <v>3.94252</v>
          </cell>
          <cell r="IV176">
            <v>20.9124427</v>
          </cell>
          <cell r="IW176">
            <v>7.5184010999999993</v>
          </cell>
          <cell r="IX176" t="str">
            <v>nd</v>
          </cell>
          <cell r="IY176" t="str">
            <v>nd</v>
          </cell>
          <cell r="IZ176">
            <v>0.52068599999999998</v>
          </cell>
          <cell r="JA176">
            <v>4.6057099999999993</v>
          </cell>
          <cell r="JB176">
            <v>28.830367800000001</v>
          </cell>
          <cell r="JC176">
            <v>10.1419175</v>
          </cell>
          <cell r="JD176">
            <v>0</v>
          </cell>
          <cell r="JE176">
            <v>0</v>
          </cell>
          <cell r="JF176" t="str">
            <v>nd</v>
          </cell>
          <cell r="JG176">
            <v>1.7715100000000001</v>
          </cell>
          <cell r="JH176">
            <v>6.5545203000000001</v>
          </cell>
          <cell r="JI176">
            <v>2.3740100000000002</v>
          </cell>
          <cell r="JJ176">
            <v>0</v>
          </cell>
          <cell r="JK176" t="str">
            <v>nd</v>
          </cell>
          <cell r="JL176">
            <v>0</v>
          </cell>
          <cell r="JM176">
            <v>0</v>
          </cell>
          <cell r="JN176">
            <v>1.9617200000000001</v>
          </cell>
          <cell r="JO176">
            <v>0</v>
          </cell>
          <cell r="JP176">
            <v>0</v>
          </cell>
          <cell r="JQ176">
            <v>0</v>
          </cell>
          <cell r="JR176">
            <v>0</v>
          </cell>
          <cell r="JS176" t="str">
            <v>nd</v>
          </cell>
          <cell r="JT176">
            <v>10.235490899999999</v>
          </cell>
          <cell r="JU176">
            <v>0</v>
          </cell>
          <cell r="JV176">
            <v>0</v>
          </cell>
          <cell r="JW176">
            <v>0</v>
          </cell>
          <cell r="JX176" t="str">
            <v>nd</v>
          </cell>
          <cell r="JY176">
            <v>0.33285900000000002</v>
          </cell>
          <cell r="JZ176">
            <v>32.557585500000002</v>
          </cell>
          <cell r="KA176">
            <v>0</v>
          </cell>
          <cell r="KB176">
            <v>0</v>
          </cell>
          <cell r="KC176">
            <v>0</v>
          </cell>
          <cell r="KD176">
            <v>0</v>
          </cell>
          <cell r="KE176">
            <v>0.38867200000000002</v>
          </cell>
          <cell r="KF176">
            <v>43.674087</v>
          </cell>
          <cell r="KG176">
            <v>0</v>
          </cell>
          <cell r="KH176">
            <v>0</v>
          </cell>
          <cell r="KI176">
            <v>0</v>
          </cell>
          <cell r="KJ176">
            <v>0</v>
          </cell>
          <cell r="KK176">
            <v>0.17636299999999999</v>
          </cell>
          <cell r="KL176">
            <v>10.4210373</v>
          </cell>
          <cell r="KM176">
            <v>66.900000000000006</v>
          </cell>
          <cell r="KN176">
            <v>14.299999999999999</v>
          </cell>
          <cell r="KO176">
            <v>6.1</v>
          </cell>
          <cell r="KP176">
            <v>6</v>
          </cell>
          <cell r="KQ176">
            <v>6.6000000000000005</v>
          </cell>
          <cell r="KR176">
            <v>0.1</v>
          </cell>
          <cell r="KS176">
            <v>65.900000000000006</v>
          </cell>
          <cell r="KT176">
            <v>14.2</v>
          </cell>
          <cell r="KU176">
            <v>6.2</v>
          </cell>
          <cell r="KV176">
            <v>6.4</v>
          </cell>
          <cell r="KW176">
            <v>7.1999999999999993</v>
          </cell>
          <cell r="KX176">
            <v>0.1</v>
          </cell>
          <cell r="KY176"/>
          <cell r="KZ176"/>
          <cell r="LA176"/>
          <cell r="LB176"/>
          <cell r="LC176"/>
          <cell r="LD176"/>
          <cell r="LE176"/>
          <cell r="LF176"/>
          <cell r="LG176"/>
          <cell r="LH176"/>
          <cell r="LI176"/>
          <cell r="LJ176"/>
          <cell r="LK176"/>
          <cell r="LL176"/>
          <cell r="LM176"/>
          <cell r="LN176"/>
          <cell r="LO176"/>
        </row>
        <row r="177">
          <cell r="A177" t="str">
            <v>4EV2</v>
          </cell>
          <cell r="B177" t="str">
            <v>177</v>
          </cell>
          <cell r="C177" t="str">
            <v>NAF 4</v>
          </cell>
          <cell r="D177" t="str">
            <v>EV2</v>
          </cell>
          <cell r="E177" t="str">
            <v>4</v>
          </cell>
          <cell r="F177">
            <v>2.2999999999999998</v>
          </cell>
          <cell r="G177">
            <v>8.6999999999999993</v>
          </cell>
          <cell r="H177">
            <v>35.9</v>
          </cell>
          <cell r="I177">
            <v>41.3</v>
          </cell>
          <cell r="J177">
            <v>11.799999999999999</v>
          </cell>
          <cell r="K177">
            <v>58.599999999999994</v>
          </cell>
          <cell r="L177">
            <v>29.4</v>
          </cell>
          <cell r="M177">
            <v>6.3</v>
          </cell>
          <cell r="N177">
            <v>5.7</v>
          </cell>
          <cell r="O177">
            <v>28.599999999999998</v>
          </cell>
          <cell r="P177">
            <v>32.1</v>
          </cell>
          <cell r="Q177">
            <v>12.1</v>
          </cell>
          <cell r="R177">
            <v>7.6</v>
          </cell>
          <cell r="S177">
            <v>16.100000000000001</v>
          </cell>
          <cell r="T177">
            <v>26.5</v>
          </cell>
          <cell r="U177">
            <v>9.4</v>
          </cell>
          <cell r="V177">
            <v>25.3</v>
          </cell>
          <cell r="W177">
            <v>14.399999999999999</v>
          </cell>
          <cell r="X177">
            <v>76.900000000000006</v>
          </cell>
          <cell r="Y177">
            <v>8.6999999999999993</v>
          </cell>
          <cell r="Z177">
            <v>3</v>
          </cell>
          <cell r="AA177">
            <v>44.4</v>
          </cell>
          <cell r="AB177">
            <v>12.6</v>
          </cell>
          <cell r="AC177">
            <v>54.800000000000004</v>
          </cell>
          <cell r="AD177">
            <v>25.900000000000002</v>
          </cell>
          <cell r="AE177">
            <v>61.4</v>
          </cell>
          <cell r="AF177">
            <v>38.6</v>
          </cell>
          <cell r="AG177">
            <v>68.899999999999991</v>
          </cell>
          <cell r="AH177">
            <v>31.1</v>
          </cell>
          <cell r="AI177">
            <v>34.599999999999994</v>
          </cell>
          <cell r="AJ177">
            <v>14.2</v>
          </cell>
          <cell r="AK177">
            <v>2.6</v>
          </cell>
          <cell r="AL177">
            <v>41.3</v>
          </cell>
          <cell r="AM177">
            <v>7.1999999999999993</v>
          </cell>
          <cell r="AN177">
            <v>10</v>
          </cell>
          <cell r="AO177">
            <v>3.3000000000000003</v>
          </cell>
          <cell r="AP177">
            <v>2.8000000000000003</v>
          </cell>
          <cell r="AQ177">
            <v>76.400000000000006</v>
          </cell>
          <cell r="AR177">
            <v>7.5</v>
          </cell>
          <cell r="AS177">
            <v>59.4</v>
          </cell>
          <cell r="AT177">
            <v>13.3</v>
          </cell>
          <cell r="AU177">
            <v>7.3</v>
          </cell>
          <cell r="AV177">
            <v>7.6</v>
          </cell>
          <cell r="AW177">
            <v>6.1</v>
          </cell>
          <cell r="AX177">
            <v>6.4</v>
          </cell>
          <cell r="AY177">
            <v>7.3</v>
          </cell>
          <cell r="AZ177">
            <v>7.8</v>
          </cell>
          <cell r="BA177">
            <v>7.1</v>
          </cell>
          <cell r="BB177">
            <v>9.4</v>
          </cell>
          <cell r="BC177">
            <v>29.599999999999998</v>
          </cell>
          <cell r="BD177">
            <v>38.800000000000004</v>
          </cell>
          <cell r="BE177">
            <v>1.7000000000000002</v>
          </cell>
          <cell r="BF177">
            <v>1.6</v>
          </cell>
          <cell r="BG177">
            <v>2.6</v>
          </cell>
          <cell r="BH177">
            <v>7.3</v>
          </cell>
          <cell r="BI177">
            <v>34.699999999999996</v>
          </cell>
          <cell r="BJ177">
            <v>52.1</v>
          </cell>
          <cell r="BK177">
            <v>0</v>
          </cell>
          <cell r="BL177" t="str">
            <v>nd</v>
          </cell>
          <cell r="BM177">
            <v>0.2</v>
          </cell>
          <cell r="BN177">
            <v>9.6</v>
          </cell>
          <cell r="BO177">
            <v>74.2</v>
          </cell>
          <cell r="BP177">
            <v>16</v>
          </cell>
          <cell r="BQ177">
            <v>0.2</v>
          </cell>
          <cell r="BR177">
            <v>0.2</v>
          </cell>
          <cell r="BS177">
            <v>1</v>
          </cell>
          <cell r="BT177">
            <v>13.200000000000001</v>
          </cell>
          <cell r="BU177">
            <v>63.3</v>
          </cell>
          <cell r="BV177">
            <v>22.1</v>
          </cell>
          <cell r="BW177">
            <v>0</v>
          </cell>
          <cell r="BX177">
            <v>0</v>
          </cell>
          <cell r="BY177">
            <v>0</v>
          </cell>
          <cell r="BZ177" t="str">
            <v>nd</v>
          </cell>
          <cell r="CA177">
            <v>1.5</v>
          </cell>
          <cell r="CB177">
            <v>98.5</v>
          </cell>
          <cell r="CC177">
            <v>18.2</v>
          </cell>
          <cell r="CD177">
            <v>13</v>
          </cell>
          <cell r="CE177">
            <v>1.7000000000000002</v>
          </cell>
          <cell r="CF177">
            <v>1.7999999999999998</v>
          </cell>
          <cell r="CG177">
            <v>0.8</v>
          </cell>
          <cell r="CH177">
            <v>17.2</v>
          </cell>
          <cell r="CI177">
            <v>9.9</v>
          </cell>
          <cell r="CJ177">
            <v>58.9</v>
          </cell>
          <cell r="CK177">
            <v>30.4</v>
          </cell>
          <cell r="CL177">
            <v>4</v>
          </cell>
          <cell r="CM177">
            <v>4</v>
          </cell>
          <cell r="CN177">
            <v>1.5</v>
          </cell>
          <cell r="CO177">
            <v>66</v>
          </cell>
          <cell r="CP177">
            <v>23</v>
          </cell>
          <cell r="CQ177">
            <v>26.8</v>
          </cell>
          <cell r="CR177">
            <v>11.600000000000001</v>
          </cell>
          <cell r="CS177">
            <v>38.6</v>
          </cell>
          <cell r="CT177">
            <v>26.5</v>
          </cell>
          <cell r="CU177">
            <v>73.5</v>
          </cell>
          <cell r="CV177">
            <v>24.9</v>
          </cell>
          <cell r="CW177">
            <v>75.099999999999994</v>
          </cell>
          <cell r="CX177">
            <v>19.600000000000001</v>
          </cell>
          <cell r="CY177">
            <v>24</v>
          </cell>
          <cell r="CZ177">
            <v>56.499999999999993</v>
          </cell>
          <cell r="DA177">
            <v>36.199999999999996</v>
          </cell>
          <cell r="DB177">
            <v>9.6</v>
          </cell>
          <cell r="DC177">
            <v>13.600000000000001</v>
          </cell>
          <cell r="DD177">
            <v>1.0999999999999999</v>
          </cell>
          <cell r="DE177">
            <v>54.800000000000004</v>
          </cell>
          <cell r="DF177">
            <v>20.8</v>
          </cell>
          <cell r="DG177">
            <v>9.6</v>
          </cell>
          <cell r="DH177">
            <v>19.600000000000001</v>
          </cell>
          <cell r="DI177">
            <v>12.4</v>
          </cell>
          <cell r="DJ177">
            <v>15.9</v>
          </cell>
          <cell r="DK177">
            <v>21.8</v>
          </cell>
          <cell r="DL177">
            <v>19.7</v>
          </cell>
          <cell r="DM177">
            <v>31.3</v>
          </cell>
          <cell r="DN177">
            <v>11.200000000000001</v>
          </cell>
          <cell r="DO177">
            <v>29.5</v>
          </cell>
          <cell r="DP177">
            <v>11.899999999999999</v>
          </cell>
          <cell r="DQ177">
            <v>3.5000000000000004</v>
          </cell>
          <cell r="DR177">
            <v>7.5</v>
          </cell>
          <cell r="DS177">
            <v>20.7</v>
          </cell>
          <cell r="DT177">
            <v>20.200000000000003</v>
          </cell>
          <cell r="DU177">
            <v>0.484487</v>
          </cell>
          <cell r="DV177">
            <v>0.93848999999999994</v>
          </cell>
          <cell r="DW177" t="str">
            <v>nd</v>
          </cell>
          <cell r="DX177">
            <v>0.18011100000000002</v>
          </cell>
          <cell r="DY177">
            <v>0.61138599999999999</v>
          </cell>
          <cell r="DZ177">
            <v>2.64642</v>
          </cell>
          <cell r="EA177">
            <v>1.7579899999999999</v>
          </cell>
          <cell r="EB177">
            <v>1.17618</v>
          </cell>
          <cell r="EC177">
            <v>1.84941</v>
          </cell>
          <cell r="ED177">
            <v>0.82137000000000004</v>
          </cell>
          <cell r="EE177">
            <v>0.44081299999999995</v>
          </cell>
          <cell r="EF177">
            <v>18.679807</v>
          </cell>
          <cell r="EG177">
            <v>6.3713238000000008</v>
          </cell>
          <cell r="EH177">
            <v>3.5032700000000001</v>
          </cell>
          <cell r="EI177">
            <v>3.4626200000000003</v>
          </cell>
          <cell r="EJ177">
            <v>1.85443</v>
          </cell>
          <cell r="EK177">
            <v>2.1653599999999997</v>
          </cell>
          <cell r="EL177">
            <v>28.654551900000001</v>
          </cell>
          <cell r="EM177">
            <v>4.3101399999999996</v>
          </cell>
          <cell r="EN177">
            <v>1.9561200000000001</v>
          </cell>
          <cell r="EO177">
            <v>1.6429800000000001</v>
          </cell>
          <cell r="EP177">
            <v>1.9782999999999999</v>
          </cell>
          <cell r="EQ177">
            <v>2.6237599999999999</v>
          </cell>
          <cell r="ER177">
            <v>8.9036674999999992</v>
          </cell>
          <cell r="ES177">
            <v>0.84051000000000009</v>
          </cell>
          <cell r="ET177">
            <v>0.53292799999999996</v>
          </cell>
          <cell r="EU177">
            <v>0.43813200000000002</v>
          </cell>
          <cell r="EV177">
            <v>0.42004399999999997</v>
          </cell>
          <cell r="EW177">
            <v>0.61427100000000001</v>
          </cell>
          <cell r="EX177">
            <v>0</v>
          </cell>
          <cell r="EY177">
            <v>1.2792299999999999</v>
          </cell>
          <cell r="EZ177" t="str">
            <v>nd</v>
          </cell>
          <cell r="FA177">
            <v>0.12248999999999999</v>
          </cell>
          <cell r="FB177">
            <v>0.92525999999999997</v>
          </cell>
          <cell r="FC177">
            <v>1.00898</v>
          </cell>
          <cell r="FD177">
            <v>0.63905100000000004</v>
          </cell>
          <cell r="FE177">
            <v>0.45814999999999995</v>
          </cell>
          <cell r="FF177">
            <v>1.1953</v>
          </cell>
          <cell r="FG177">
            <v>2.6265400000000003</v>
          </cell>
          <cell r="FH177">
            <v>2.6914799999999999</v>
          </cell>
          <cell r="FI177">
            <v>2.3992200000000001</v>
          </cell>
          <cell r="FJ177">
            <v>3.7900799999999997</v>
          </cell>
          <cell r="FK177">
            <v>3.4365300000000003</v>
          </cell>
          <cell r="FL177">
            <v>3.1968900000000002</v>
          </cell>
          <cell r="FM177">
            <v>10.708108299999999</v>
          </cell>
          <cell r="FN177">
            <v>12.5523367</v>
          </cell>
          <cell r="FO177">
            <v>3.2601499999999999</v>
          </cell>
          <cell r="FP177">
            <v>2.9628000000000001</v>
          </cell>
          <cell r="FQ177">
            <v>2.5265900000000001</v>
          </cell>
          <cell r="FR177">
            <v>3.7404299999999999</v>
          </cell>
          <cell r="FS177">
            <v>12.2888614</v>
          </cell>
          <cell r="FT177">
            <v>16.538272800000001</v>
          </cell>
          <cell r="FU177">
            <v>0.63707000000000003</v>
          </cell>
          <cell r="FV177">
            <v>0.43182399999999999</v>
          </cell>
          <cell r="FW177">
            <v>0.62642599999999993</v>
          </cell>
          <cell r="FX177">
            <v>1.1227400000000001</v>
          </cell>
          <cell r="FY177">
            <v>2.7894600000000001</v>
          </cell>
          <cell r="FZ177">
            <v>6.0093699999999997</v>
          </cell>
          <cell r="GA177">
            <v>1.0898600000000001</v>
          </cell>
          <cell r="GB177">
            <v>0.27457300000000001</v>
          </cell>
          <cell r="GC177">
            <v>0.18194399999999999</v>
          </cell>
          <cell r="GD177">
            <v>0</v>
          </cell>
          <cell r="GE177">
            <v>0.334837</v>
          </cell>
          <cell r="GF177">
            <v>0.34182499999999999</v>
          </cell>
          <cell r="GG177">
            <v>0.7878400000000001</v>
          </cell>
          <cell r="GH177">
            <v>1.0921999999999998</v>
          </cell>
          <cell r="GI177">
            <v>1.59809</v>
          </cell>
          <cell r="GJ177">
            <v>2.5623300000000002</v>
          </cell>
          <cell r="GK177">
            <v>1.9643899999999999</v>
          </cell>
          <cell r="GL177" t="str">
            <v>nd</v>
          </cell>
          <cell r="GM177">
            <v>0.29372500000000001</v>
          </cell>
          <cell r="GN177">
            <v>1.0487</v>
          </cell>
          <cell r="GO177">
            <v>4.1271100000000001</v>
          </cell>
          <cell r="GP177">
            <v>14.2332398</v>
          </cell>
          <cell r="GQ177">
            <v>15.874165100000001</v>
          </cell>
          <cell r="GR177">
            <v>0</v>
          </cell>
          <cell r="GS177">
            <v>0</v>
          </cell>
          <cell r="GT177" t="str">
            <v>nd</v>
          </cell>
          <cell r="GU177">
            <v>1.2216400000000001</v>
          </cell>
          <cell r="GV177">
            <v>13.074612299999998</v>
          </cell>
          <cell r="GW177">
            <v>27.220053700000001</v>
          </cell>
          <cell r="GX177" t="str">
            <v>nd</v>
          </cell>
          <cell r="GY177">
            <v>0</v>
          </cell>
          <cell r="GZ177">
            <v>0.23861300000000002</v>
          </cell>
          <cell r="HA177">
            <v>0.38659399999999999</v>
          </cell>
          <cell r="HB177">
            <v>4.6338900000000001</v>
          </cell>
          <cell r="HC177">
            <v>6.5907932000000002</v>
          </cell>
          <cell r="HD177">
            <v>0</v>
          </cell>
          <cell r="HE177">
            <v>1.8236599999999998</v>
          </cell>
          <cell r="HF177">
            <v>0</v>
          </cell>
          <cell r="HG177">
            <v>0.14996099999999998</v>
          </cell>
          <cell r="HH177">
            <v>0.40077499999999999</v>
          </cell>
          <cell r="HI177">
            <v>0</v>
          </cell>
          <cell r="HJ177">
            <v>0</v>
          </cell>
          <cell r="HK177">
            <v>0</v>
          </cell>
          <cell r="HL177">
            <v>0.80371999999999999</v>
          </cell>
          <cell r="HM177">
            <v>6.2656540999999999</v>
          </cell>
          <cell r="HN177">
            <v>1.3730499999999999</v>
          </cell>
          <cell r="HO177">
            <v>0</v>
          </cell>
          <cell r="HP177">
            <v>0</v>
          </cell>
          <cell r="HQ177">
            <v>0.19323100000000001</v>
          </cell>
          <cell r="HR177">
            <v>3.6928000000000001</v>
          </cell>
          <cell r="HS177">
            <v>27.014599700000002</v>
          </cell>
          <cell r="HT177">
            <v>5.0556299999999998</v>
          </cell>
          <cell r="HU177">
            <v>0</v>
          </cell>
          <cell r="HV177">
            <v>0</v>
          </cell>
          <cell r="HW177">
            <v>0</v>
          </cell>
          <cell r="HX177">
            <v>3.8648899999999999</v>
          </cell>
          <cell r="HY177">
            <v>29.814584799999999</v>
          </cell>
          <cell r="HZ177">
            <v>7.7743209999999996</v>
          </cell>
          <cell r="IA177">
            <v>0</v>
          </cell>
          <cell r="IB177" t="str">
            <v>nd</v>
          </cell>
          <cell r="IC177" t="str">
            <v>nd</v>
          </cell>
          <cell r="ID177">
            <v>0.99717999999999996</v>
          </cell>
          <cell r="IE177">
            <v>9.4236256000000012</v>
          </cell>
          <cell r="IF177">
            <v>1.26284</v>
          </cell>
          <cell r="IG177">
            <v>0</v>
          </cell>
          <cell r="IH177">
            <v>0.88333000000000006</v>
          </cell>
          <cell r="II177" t="str">
            <v>nd</v>
          </cell>
          <cell r="IJ177">
            <v>0.29023100000000002</v>
          </cell>
          <cell r="IK177">
            <v>1.0320100000000001</v>
          </cell>
          <cell r="IL177">
            <v>0</v>
          </cell>
          <cell r="IM177" t="str">
            <v>nd</v>
          </cell>
          <cell r="IN177">
            <v>0.206038</v>
          </cell>
          <cell r="IO177">
            <v>1.14493</v>
          </cell>
          <cell r="IP177">
            <v>5.2630799999999995</v>
          </cell>
          <cell r="IQ177">
            <v>1.8017600000000003</v>
          </cell>
          <cell r="IR177">
            <v>0.164022</v>
          </cell>
          <cell r="IS177">
            <v>0.15281500000000001</v>
          </cell>
          <cell r="IT177">
            <v>0.38514500000000002</v>
          </cell>
          <cell r="IU177">
            <v>4.7037399999999998</v>
          </cell>
          <cell r="IV177">
            <v>22.2744043</v>
          </cell>
          <cell r="IW177">
            <v>8.188877999999999</v>
          </cell>
          <cell r="IX177">
            <v>0</v>
          </cell>
          <cell r="IY177" t="str">
            <v>nd</v>
          </cell>
          <cell r="IZ177">
            <v>0.213059</v>
          </cell>
          <cell r="JA177">
            <v>5.2035199999999993</v>
          </cell>
          <cell r="JB177">
            <v>27.1529071</v>
          </cell>
          <cell r="JC177">
            <v>8.8102093000000004</v>
          </cell>
          <cell r="JD177">
            <v>0</v>
          </cell>
          <cell r="JE177">
            <v>0</v>
          </cell>
          <cell r="JF177" t="str">
            <v>nd</v>
          </cell>
          <cell r="JG177">
            <v>1.8270000000000002</v>
          </cell>
          <cell r="JH177">
            <v>7.9066826000000008</v>
          </cell>
          <cell r="JI177">
            <v>2.0752600000000001</v>
          </cell>
          <cell r="JJ177">
            <v>0</v>
          </cell>
          <cell r="JK177">
            <v>0.17032900000000001</v>
          </cell>
          <cell r="JL177">
            <v>0</v>
          </cell>
          <cell r="JM177">
            <v>0</v>
          </cell>
          <cell r="JN177">
            <v>2.3451400000000002</v>
          </cell>
          <cell r="JO177">
            <v>0</v>
          </cell>
          <cell r="JP177">
            <v>0</v>
          </cell>
          <cell r="JQ177">
            <v>0</v>
          </cell>
          <cell r="JR177">
            <v>0</v>
          </cell>
          <cell r="JS177">
            <v>0.12638199999999999</v>
          </cell>
          <cell r="JT177">
            <v>7.9424023999999998</v>
          </cell>
          <cell r="JU177">
            <v>0</v>
          </cell>
          <cell r="JV177">
            <v>0</v>
          </cell>
          <cell r="JW177">
            <v>0</v>
          </cell>
          <cell r="JX177" t="str">
            <v>nd</v>
          </cell>
          <cell r="JY177">
            <v>0.42454299999999995</v>
          </cell>
          <cell r="JZ177">
            <v>35.184604299999997</v>
          </cell>
          <cell r="KA177">
            <v>0</v>
          </cell>
          <cell r="KB177">
            <v>0</v>
          </cell>
          <cell r="KC177">
            <v>0</v>
          </cell>
          <cell r="KD177">
            <v>0</v>
          </cell>
          <cell r="KE177">
            <v>0.66308400000000001</v>
          </cell>
          <cell r="KF177">
            <v>41.337866099999999</v>
          </cell>
          <cell r="KG177">
            <v>0</v>
          </cell>
          <cell r="KH177">
            <v>0</v>
          </cell>
          <cell r="KI177">
            <v>0</v>
          </cell>
          <cell r="KJ177">
            <v>0</v>
          </cell>
          <cell r="KK177" t="str">
            <v>nd</v>
          </cell>
          <cell r="KL177">
            <v>11.6441353</v>
          </cell>
          <cell r="KM177">
            <v>63.5</v>
          </cell>
          <cell r="KN177">
            <v>16.5</v>
          </cell>
          <cell r="KO177">
            <v>6.7</v>
          </cell>
          <cell r="KP177">
            <v>6.5</v>
          </cell>
          <cell r="KQ177">
            <v>6.7</v>
          </cell>
          <cell r="KR177">
            <v>0.1</v>
          </cell>
          <cell r="KS177">
            <v>62.3</v>
          </cell>
          <cell r="KT177">
            <v>16.3</v>
          </cell>
          <cell r="KU177">
            <v>6.9</v>
          </cell>
          <cell r="KV177">
            <v>7.0000000000000009</v>
          </cell>
          <cell r="KW177">
            <v>7.3999999999999995</v>
          </cell>
          <cell r="KX177">
            <v>0.1</v>
          </cell>
          <cell r="KY177"/>
          <cell r="KZ177"/>
          <cell r="LA177"/>
          <cell r="LB177"/>
          <cell r="LC177"/>
          <cell r="LD177"/>
          <cell r="LE177"/>
          <cell r="LF177"/>
          <cell r="LG177"/>
          <cell r="LH177"/>
          <cell r="LI177"/>
          <cell r="LJ177"/>
          <cell r="LK177"/>
          <cell r="LL177"/>
          <cell r="LM177"/>
          <cell r="LN177"/>
          <cell r="LO177"/>
        </row>
        <row r="178">
          <cell r="A178" t="str">
            <v>5EV2</v>
          </cell>
          <cell r="B178" t="str">
            <v>178</v>
          </cell>
          <cell r="C178" t="str">
            <v>NAF 4</v>
          </cell>
          <cell r="D178" t="str">
            <v>EV2</v>
          </cell>
          <cell r="E178" t="str">
            <v>5</v>
          </cell>
          <cell r="F178">
            <v>1.6</v>
          </cell>
          <cell r="G178">
            <v>10.299999999999999</v>
          </cell>
          <cell r="H178">
            <v>34.5</v>
          </cell>
          <cell r="I178">
            <v>43.1</v>
          </cell>
          <cell r="J178">
            <v>10.5</v>
          </cell>
          <cell r="K178">
            <v>57.499999999999993</v>
          </cell>
          <cell r="L178">
            <v>26.3</v>
          </cell>
          <cell r="M178">
            <v>6.4</v>
          </cell>
          <cell r="N178">
            <v>9.9</v>
          </cell>
          <cell r="O178">
            <v>27.700000000000003</v>
          </cell>
          <cell r="P178">
            <v>34</v>
          </cell>
          <cell r="Q178">
            <v>10.4</v>
          </cell>
          <cell r="R178">
            <v>7.3999999999999995</v>
          </cell>
          <cell r="S178">
            <v>17.299999999999997</v>
          </cell>
          <cell r="T178">
            <v>25.8</v>
          </cell>
          <cell r="U178">
            <v>9.4</v>
          </cell>
          <cell r="V178">
            <v>25.5</v>
          </cell>
          <cell r="W178">
            <v>15.1</v>
          </cell>
          <cell r="X178">
            <v>77.400000000000006</v>
          </cell>
          <cell r="Y178">
            <v>7.5</v>
          </cell>
          <cell r="Z178">
            <v>8.2000000000000011</v>
          </cell>
          <cell r="AA178">
            <v>54.800000000000004</v>
          </cell>
          <cell r="AB178">
            <v>8.9</v>
          </cell>
          <cell r="AC178">
            <v>61</v>
          </cell>
          <cell r="AD178">
            <v>26</v>
          </cell>
          <cell r="AE178">
            <v>64.2</v>
          </cell>
          <cell r="AF178">
            <v>35.799999999999997</v>
          </cell>
          <cell r="AG178">
            <v>74.8</v>
          </cell>
          <cell r="AH178">
            <v>25.2</v>
          </cell>
          <cell r="AI178">
            <v>32.300000000000004</v>
          </cell>
          <cell r="AJ178">
            <v>11.899999999999999</v>
          </cell>
          <cell r="AK178">
            <v>2.5</v>
          </cell>
          <cell r="AL178">
            <v>47.8</v>
          </cell>
          <cell r="AM178">
            <v>5.5</v>
          </cell>
          <cell r="AN178">
            <v>10.5</v>
          </cell>
          <cell r="AO178">
            <v>2.4</v>
          </cell>
          <cell r="AP178">
            <v>4.1000000000000005</v>
          </cell>
          <cell r="AQ178">
            <v>73.2</v>
          </cell>
          <cell r="AR178">
            <v>9.9</v>
          </cell>
          <cell r="AS178">
            <v>53.2</v>
          </cell>
          <cell r="AT178">
            <v>14.399999999999999</v>
          </cell>
          <cell r="AU178">
            <v>9.8000000000000007</v>
          </cell>
          <cell r="AV178">
            <v>9.1999999999999993</v>
          </cell>
          <cell r="AW178">
            <v>7.6</v>
          </cell>
          <cell r="AX178">
            <v>5.8000000000000007</v>
          </cell>
          <cell r="AY178">
            <v>9.7000000000000011</v>
          </cell>
          <cell r="AZ178">
            <v>10.6</v>
          </cell>
          <cell r="BA178">
            <v>8.6999999999999993</v>
          </cell>
          <cell r="BB178">
            <v>9.1999999999999993</v>
          </cell>
          <cell r="BC178">
            <v>28.9</v>
          </cell>
          <cell r="BD178">
            <v>33</v>
          </cell>
          <cell r="BE178">
            <v>1.3</v>
          </cell>
          <cell r="BF178">
            <v>2.1</v>
          </cell>
          <cell r="BG178">
            <v>2.9000000000000004</v>
          </cell>
          <cell r="BH178">
            <v>8.6999999999999993</v>
          </cell>
          <cell r="BI178">
            <v>39.5</v>
          </cell>
          <cell r="BJ178">
            <v>45.5</v>
          </cell>
          <cell r="BK178" t="str">
            <v>nd</v>
          </cell>
          <cell r="BL178">
            <v>0</v>
          </cell>
          <cell r="BM178">
            <v>0.89999999999999991</v>
          </cell>
          <cell r="BN178">
            <v>12.1</v>
          </cell>
          <cell r="BO178">
            <v>75.900000000000006</v>
          </cell>
          <cell r="BP178">
            <v>11</v>
          </cell>
          <cell r="BQ178" t="str">
            <v>nd</v>
          </cell>
          <cell r="BR178">
            <v>0.3</v>
          </cell>
          <cell r="BS178">
            <v>1.4000000000000001</v>
          </cell>
          <cell r="BT178">
            <v>16.8</v>
          </cell>
          <cell r="BU178">
            <v>65.900000000000006</v>
          </cell>
          <cell r="BV178">
            <v>15.4</v>
          </cell>
          <cell r="BW178">
            <v>0</v>
          </cell>
          <cell r="BX178">
            <v>0</v>
          </cell>
          <cell r="BY178">
            <v>0</v>
          </cell>
          <cell r="BZ178" t="str">
            <v>nd</v>
          </cell>
          <cell r="CA178">
            <v>1.0999999999999999</v>
          </cell>
          <cell r="CB178">
            <v>98.8</v>
          </cell>
          <cell r="CC178">
            <v>18.399999999999999</v>
          </cell>
          <cell r="CD178">
            <v>11.899999999999999</v>
          </cell>
          <cell r="CE178">
            <v>1</v>
          </cell>
          <cell r="CF178">
            <v>1</v>
          </cell>
          <cell r="CG178">
            <v>0.70000000000000007</v>
          </cell>
          <cell r="CH178">
            <v>12.7</v>
          </cell>
          <cell r="CI178">
            <v>6.8000000000000007</v>
          </cell>
          <cell r="CJ178">
            <v>64</v>
          </cell>
          <cell r="CK178">
            <v>28.999999999999996</v>
          </cell>
          <cell r="CL178">
            <v>5.5</v>
          </cell>
          <cell r="CM178">
            <v>3.6999999999999997</v>
          </cell>
          <cell r="CN178">
            <v>1.7000000000000002</v>
          </cell>
          <cell r="CO178">
            <v>68.400000000000006</v>
          </cell>
          <cell r="CP178">
            <v>23.799999999999997</v>
          </cell>
          <cell r="CQ178">
            <v>27.400000000000002</v>
          </cell>
          <cell r="CR178">
            <v>9.8000000000000007</v>
          </cell>
          <cell r="CS178">
            <v>38.9</v>
          </cell>
          <cell r="CT178">
            <v>26.200000000000003</v>
          </cell>
          <cell r="CU178">
            <v>73.8</v>
          </cell>
          <cell r="CV178">
            <v>25.8</v>
          </cell>
          <cell r="CW178">
            <v>74.2</v>
          </cell>
          <cell r="CX178">
            <v>24.099999999999998</v>
          </cell>
          <cell r="CY178">
            <v>23.7</v>
          </cell>
          <cell r="CZ178">
            <v>52.2</v>
          </cell>
          <cell r="DA178">
            <v>40.5</v>
          </cell>
          <cell r="DB178">
            <v>6.4</v>
          </cell>
          <cell r="DC178">
            <v>12.3</v>
          </cell>
          <cell r="DD178">
            <v>0</v>
          </cell>
          <cell r="DE178">
            <v>57.3</v>
          </cell>
          <cell r="DF178">
            <v>18.2</v>
          </cell>
          <cell r="DG178">
            <v>9.1999999999999993</v>
          </cell>
          <cell r="DH178">
            <v>20.100000000000001</v>
          </cell>
          <cell r="DI178">
            <v>12.7</v>
          </cell>
          <cell r="DJ178">
            <v>13.900000000000002</v>
          </cell>
          <cell r="DK178">
            <v>25.900000000000002</v>
          </cell>
          <cell r="DL178">
            <v>15.8</v>
          </cell>
          <cell r="DM178">
            <v>28.4</v>
          </cell>
          <cell r="DN178">
            <v>10.100000000000001</v>
          </cell>
          <cell r="DO178">
            <v>31.900000000000002</v>
          </cell>
          <cell r="DP178">
            <v>11.799999999999999</v>
          </cell>
          <cell r="DQ178">
            <v>2.7</v>
          </cell>
          <cell r="DR178">
            <v>5.6000000000000005</v>
          </cell>
          <cell r="DS178">
            <v>25.6</v>
          </cell>
          <cell r="DT178">
            <v>24.6</v>
          </cell>
          <cell r="DU178">
            <v>0.324598</v>
          </cell>
          <cell r="DV178">
            <v>0.47031900000000004</v>
          </cell>
          <cell r="DW178">
            <v>0</v>
          </cell>
          <cell r="DX178" t="str">
            <v>nd</v>
          </cell>
          <cell r="DY178">
            <v>0.72838900000000006</v>
          </cell>
          <cell r="DZ178">
            <v>3.5181700000000005</v>
          </cell>
          <cell r="EA178">
            <v>1.35833</v>
          </cell>
          <cell r="EB178">
            <v>1.25159</v>
          </cell>
          <cell r="EC178">
            <v>1.9891800000000002</v>
          </cell>
          <cell r="ED178">
            <v>1.6757000000000002</v>
          </cell>
          <cell r="EE178">
            <v>0.36388599999999999</v>
          </cell>
          <cell r="EF178">
            <v>15.3004839</v>
          </cell>
          <cell r="EG178">
            <v>5.8221299999999996</v>
          </cell>
          <cell r="EH178">
            <v>5.0342199999999995</v>
          </cell>
          <cell r="EI178">
            <v>4.0800900000000002</v>
          </cell>
          <cell r="EJ178">
            <v>2.4288500000000002</v>
          </cell>
          <cell r="EK178">
            <v>1.9336</v>
          </cell>
          <cell r="EL178">
            <v>26.738344000000001</v>
          </cell>
          <cell r="EM178">
            <v>5.9045199999999998</v>
          </cell>
          <cell r="EN178">
            <v>3.0882100000000001</v>
          </cell>
          <cell r="EO178">
            <v>2.4402599999999999</v>
          </cell>
          <cell r="EP178">
            <v>2.6344400000000001</v>
          </cell>
          <cell r="EQ178">
            <v>2.4472800000000001</v>
          </cell>
          <cell r="ER178">
            <v>7.1455236000000006</v>
          </cell>
          <cell r="ES178">
            <v>1.3552899999999999</v>
          </cell>
          <cell r="ET178">
            <v>0.46898900000000004</v>
          </cell>
          <cell r="EU178">
            <v>0.69940400000000003</v>
          </cell>
          <cell r="EV178">
            <v>0.40252100000000002</v>
          </cell>
          <cell r="EW178">
            <v>0.36812600000000001</v>
          </cell>
          <cell r="EX178">
            <v>0</v>
          </cell>
          <cell r="EY178">
            <v>0.87236999999999987</v>
          </cell>
          <cell r="EZ178">
            <v>0</v>
          </cell>
          <cell r="FA178" t="str">
            <v>nd</v>
          </cell>
          <cell r="FB178">
            <v>0.658053</v>
          </cell>
          <cell r="FC178">
            <v>0.82777000000000012</v>
          </cell>
          <cell r="FD178">
            <v>0.81846999999999992</v>
          </cell>
          <cell r="FE178">
            <v>1.12127</v>
          </cell>
          <cell r="FF178">
            <v>1.21034</v>
          </cell>
          <cell r="FG178">
            <v>2.95451</v>
          </cell>
          <cell r="FH178">
            <v>3.2735699999999999</v>
          </cell>
          <cell r="FI178">
            <v>3.4831399999999997</v>
          </cell>
          <cell r="FJ178">
            <v>5.10168</v>
          </cell>
          <cell r="FK178">
            <v>2.9243100000000002</v>
          </cell>
          <cell r="FL178">
            <v>3.7299400000000005</v>
          </cell>
          <cell r="FM178">
            <v>9.3060786000000011</v>
          </cell>
          <cell r="FN178">
            <v>9.9344233000000006</v>
          </cell>
          <cell r="FO178">
            <v>4.6258300000000006</v>
          </cell>
          <cell r="FP178">
            <v>3.51715</v>
          </cell>
          <cell r="FQ178">
            <v>3.9736599999999997</v>
          </cell>
          <cell r="FR178">
            <v>3.1571700000000003</v>
          </cell>
          <cell r="FS178">
            <v>12.904860500000002</v>
          </cell>
          <cell r="FT178">
            <v>14.980567499999999</v>
          </cell>
          <cell r="FU178">
            <v>0.82988000000000006</v>
          </cell>
          <cell r="FV178">
            <v>1.22173</v>
          </cell>
          <cell r="FW178">
            <v>0.75353800000000004</v>
          </cell>
          <cell r="FX178">
            <v>1.02217</v>
          </cell>
          <cell r="FY178">
            <v>2.5513999999999997</v>
          </cell>
          <cell r="FZ178">
            <v>4.1689600000000002</v>
          </cell>
          <cell r="GA178">
            <v>0.82526999999999995</v>
          </cell>
          <cell r="GB178">
            <v>0</v>
          </cell>
          <cell r="GC178">
            <v>0</v>
          </cell>
          <cell r="GD178">
            <v>0</v>
          </cell>
          <cell r="GE178">
            <v>0.69114500000000001</v>
          </cell>
          <cell r="GF178" t="str">
            <v>nd</v>
          </cell>
          <cell r="GG178">
            <v>1.7414599999999998</v>
          </cell>
          <cell r="GH178">
            <v>0.75112699999999999</v>
          </cell>
          <cell r="GI178">
            <v>1.59982</v>
          </cell>
          <cell r="GJ178">
            <v>3.1901800000000002</v>
          </cell>
          <cell r="GK178">
            <v>2.4044400000000001</v>
          </cell>
          <cell r="GL178" t="str">
            <v>nd</v>
          </cell>
          <cell r="GM178">
            <v>0.164968</v>
          </cell>
          <cell r="GN178">
            <v>2.1457799999999998</v>
          </cell>
          <cell r="GO178">
            <v>5.6064600000000002</v>
          </cell>
          <cell r="GP178">
            <v>14.309806500000001</v>
          </cell>
          <cell r="GQ178">
            <v>12.2258324</v>
          </cell>
          <cell r="GR178">
            <v>0</v>
          </cell>
          <cell r="GS178" t="str">
            <v>nd</v>
          </cell>
          <cell r="GT178" t="str">
            <v>nd</v>
          </cell>
          <cell r="GU178">
            <v>1.4852000000000001</v>
          </cell>
          <cell r="GV178">
            <v>16.927479399999999</v>
          </cell>
          <cell r="GW178">
            <v>24.765043599999998</v>
          </cell>
          <cell r="GX178" t="str">
            <v>nd</v>
          </cell>
          <cell r="GY178">
            <v>0</v>
          </cell>
          <cell r="GZ178">
            <v>0</v>
          </cell>
          <cell r="HA178" t="str">
            <v>nd</v>
          </cell>
          <cell r="HB178">
            <v>5.1975800000000003</v>
          </cell>
          <cell r="HC178">
            <v>5.31081</v>
          </cell>
          <cell r="HD178">
            <v>0</v>
          </cell>
          <cell r="HE178">
            <v>0.698183</v>
          </cell>
          <cell r="HF178">
            <v>0</v>
          </cell>
          <cell r="HG178" t="str">
            <v>nd</v>
          </cell>
          <cell r="HH178">
            <v>0.84208000000000005</v>
          </cell>
          <cell r="HI178">
            <v>0</v>
          </cell>
          <cell r="HJ178">
            <v>0</v>
          </cell>
          <cell r="HK178" t="str">
            <v>nd</v>
          </cell>
          <cell r="HL178">
            <v>0.96907999999999994</v>
          </cell>
          <cell r="HM178">
            <v>8.1139562999999999</v>
          </cell>
          <cell r="HN178">
            <v>0.92343000000000008</v>
          </cell>
          <cell r="HO178" t="str">
            <v>nd</v>
          </cell>
          <cell r="HP178">
            <v>0</v>
          </cell>
          <cell r="HQ178">
            <v>0</v>
          </cell>
          <cell r="HR178">
            <v>5.03728</v>
          </cell>
          <cell r="HS178">
            <v>25.4636967</v>
          </cell>
          <cell r="HT178">
            <v>4.14907</v>
          </cell>
          <cell r="HU178">
            <v>0</v>
          </cell>
          <cell r="HV178">
            <v>0</v>
          </cell>
          <cell r="HW178">
            <v>0.662412</v>
          </cell>
          <cell r="HX178">
            <v>4.7885999999999997</v>
          </cell>
          <cell r="HY178">
            <v>33.578447199999999</v>
          </cell>
          <cell r="HZ178">
            <v>4.1999899999999997</v>
          </cell>
          <cell r="IA178">
            <v>0</v>
          </cell>
          <cell r="IB178">
            <v>0</v>
          </cell>
          <cell r="IC178" t="str">
            <v>nd</v>
          </cell>
          <cell r="ID178">
            <v>1.27332</v>
          </cell>
          <cell r="IE178">
            <v>8.1065372999999994</v>
          </cell>
          <cell r="IF178">
            <v>0.87357000000000007</v>
          </cell>
          <cell r="IG178">
            <v>0</v>
          </cell>
          <cell r="IH178">
            <v>0.67006500000000002</v>
          </cell>
          <cell r="II178">
            <v>0</v>
          </cell>
          <cell r="IJ178">
            <v>0.13259499999999999</v>
          </cell>
          <cell r="IK178">
            <v>0.81431000000000009</v>
          </cell>
          <cell r="IL178">
            <v>0</v>
          </cell>
          <cell r="IM178" t="str">
            <v>nd</v>
          </cell>
          <cell r="IN178">
            <v>0.47947199999999995</v>
          </cell>
          <cell r="IO178">
            <v>2.3014999999999999</v>
          </cell>
          <cell r="IP178">
            <v>5.0203100000000003</v>
          </cell>
          <cell r="IQ178">
            <v>2.4754399999999999</v>
          </cell>
          <cell r="IR178">
            <v>0</v>
          </cell>
          <cell r="IS178" t="str">
            <v>nd</v>
          </cell>
          <cell r="IT178">
            <v>0.32509100000000002</v>
          </cell>
          <cell r="IU178">
            <v>6.8719973000000003</v>
          </cell>
          <cell r="IV178">
            <v>22.519460200000001</v>
          </cell>
          <cell r="IW178">
            <v>4.6440000000000001</v>
          </cell>
          <cell r="IX178" t="str">
            <v>nd</v>
          </cell>
          <cell r="IY178" t="str">
            <v>nd</v>
          </cell>
          <cell r="IZ178">
            <v>0.62536700000000001</v>
          </cell>
          <cell r="JA178">
            <v>6.3195033</v>
          </cell>
          <cell r="JB178">
            <v>29.696289399999998</v>
          </cell>
          <cell r="JC178">
            <v>6.1302099999999999</v>
          </cell>
          <cell r="JD178">
            <v>0</v>
          </cell>
          <cell r="JE178">
            <v>0</v>
          </cell>
          <cell r="JF178">
            <v>0</v>
          </cell>
          <cell r="JG178">
            <v>1.1669499999999999</v>
          </cell>
          <cell r="JH178">
            <v>8.038023299999999</v>
          </cell>
          <cell r="JI178">
            <v>1.3185499999999999</v>
          </cell>
          <cell r="JJ178">
            <v>0</v>
          </cell>
          <cell r="JK178" t="str">
            <v>nd</v>
          </cell>
          <cell r="JL178">
            <v>0</v>
          </cell>
          <cell r="JM178">
            <v>0</v>
          </cell>
          <cell r="JN178">
            <v>1.5766800000000001</v>
          </cell>
          <cell r="JO178">
            <v>0</v>
          </cell>
          <cell r="JP178">
            <v>0</v>
          </cell>
          <cell r="JQ178">
            <v>0</v>
          </cell>
          <cell r="JR178">
            <v>0</v>
          </cell>
          <cell r="JS178" t="str">
            <v>nd</v>
          </cell>
          <cell r="JT178">
            <v>9.9760048000000001</v>
          </cell>
          <cell r="JU178">
            <v>0</v>
          </cell>
          <cell r="JV178">
            <v>0</v>
          </cell>
          <cell r="JW178">
            <v>0</v>
          </cell>
          <cell r="JX178">
            <v>0</v>
          </cell>
          <cell r="JY178">
            <v>0.42111999999999999</v>
          </cell>
          <cell r="JZ178">
            <v>34.173080900000002</v>
          </cell>
          <cell r="KA178">
            <v>0</v>
          </cell>
          <cell r="KB178">
            <v>0</v>
          </cell>
          <cell r="KC178">
            <v>0</v>
          </cell>
          <cell r="KD178" t="str">
            <v>nd</v>
          </cell>
          <cell r="KE178">
            <v>0.35625299999999999</v>
          </cell>
          <cell r="KF178">
            <v>42.7993509</v>
          </cell>
          <cell r="KG178">
            <v>0</v>
          </cell>
          <cell r="KH178">
            <v>0</v>
          </cell>
          <cell r="KI178">
            <v>0</v>
          </cell>
          <cell r="KJ178">
            <v>0</v>
          </cell>
          <cell r="KK178" t="str">
            <v>nd</v>
          </cell>
          <cell r="KL178">
            <v>10.2575588</v>
          </cell>
          <cell r="KM178">
            <v>58.699999999999996</v>
          </cell>
          <cell r="KN178">
            <v>20.399999999999999</v>
          </cell>
          <cell r="KO178">
            <v>7.3</v>
          </cell>
          <cell r="KP178">
            <v>6.5</v>
          </cell>
          <cell r="KQ178">
            <v>7.0000000000000009</v>
          </cell>
          <cell r="KR178">
            <v>0.1</v>
          </cell>
          <cell r="KS178">
            <v>57.3</v>
          </cell>
          <cell r="KT178">
            <v>20</v>
          </cell>
          <cell r="KU178">
            <v>7.6</v>
          </cell>
          <cell r="KV178">
            <v>7.1</v>
          </cell>
          <cell r="KW178">
            <v>7.9</v>
          </cell>
          <cell r="KX178">
            <v>0.1</v>
          </cell>
          <cell r="KY178"/>
          <cell r="KZ178"/>
          <cell r="LA178"/>
          <cell r="LB178"/>
          <cell r="LC178"/>
          <cell r="LD178"/>
          <cell r="LE178"/>
          <cell r="LF178"/>
          <cell r="LG178"/>
          <cell r="LH178"/>
          <cell r="LI178"/>
          <cell r="LJ178"/>
          <cell r="LK178"/>
          <cell r="LL178"/>
          <cell r="LM178"/>
          <cell r="LN178"/>
          <cell r="LO178"/>
        </row>
        <row r="179">
          <cell r="A179" t="str">
            <v>6EV2</v>
          </cell>
          <cell r="B179" t="str">
            <v>179</v>
          </cell>
          <cell r="C179" t="str">
            <v>NAF 4</v>
          </cell>
          <cell r="D179" t="str">
            <v>EV2</v>
          </cell>
          <cell r="E179" t="str">
            <v>6</v>
          </cell>
          <cell r="F179">
            <v>0.6</v>
          </cell>
          <cell r="G179">
            <v>12.1</v>
          </cell>
          <cell r="H179">
            <v>45.2</v>
          </cell>
          <cell r="I179">
            <v>27.800000000000004</v>
          </cell>
          <cell r="J179">
            <v>14.299999999999999</v>
          </cell>
          <cell r="K179">
            <v>63.4</v>
          </cell>
          <cell r="L179">
            <v>16.600000000000001</v>
          </cell>
          <cell r="M179">
            <v>3.6999999999999997</v>
          </cell>
          <cell r="N179">
            <v>16.3</v>
          </cell>
          <cell r="O179">
            <v>33.200000000000003</v>
          </cell>
          <cell r="P179">
            <v>43</v>
          </cell>
          <cell r="Q179">
            <v>10</v>
          </cell>
          <cell r="R179">
            <v>5.2</v>
          </cell>
          <cell r="S179">
            <v>20.8</v>
          </cell>
          <cell r="T179">
            <v>28.799999999999997</v>
          </cell>
          <cell r="U179">
            <v>7.1</v>
          </cell>
          <cell r="V179">
            <v>19.900000000000002</v>
          </cell>
          <cell r="W179">
            <v>14.6</v>
          </cell>
          <cell r="X179">
            <v>73.3</v>
          </cell>
          <cell r="Y179">
            <v>12.1</v>
          </cell>
          <cell r="Z179">
            <v>4.3</v>
          </cell>
          <cell r="AA179">
            <v>57.4</v>
          </cell>
          <cell r="AB179">
            <v>7.1</v>
          </cell>
          <cell r="AC179">
            <v>65.2</v>
          </cell>
          <cell r="AD179">
            <v>24.099999999999998</v>
          </cell>
          <cell r="AE179">
            <v>58.199999999999996</v>
          </cell>
          <cell r="AF179">
            <v>41.8</v>
          </cell>
          <cell r="AG179">
            <v>78.7</v>
          </cell>
          <cell r="AH179">
            <v>21.3</v>
          </cell>
          <cell r="AI179">
            <v>34.200000000000003</v>
          </cell>
          <cell r="AJ179">
            <v>12.4</v>
          </cell>
          <cell r="AK179">
            <v>2.5</v>
          </cell>
          <cell r="AL179">
            <v>44.7</v>
          </cell>
          <cell r="AM179">
            <v>6.2</v>
          </cell>
          <cell r="AN179">
            <v>8.5</v>
          </cell>
          <cell r="AO179">
            <v>1.9</v>
          </cell>
          <cell r="AP179">
            <v>9</v>
          </cell>
          <cell r="AQ179">
            <v>59.599999999999994</v>
          </cell>
          <cell r="AR179">
            <v>21.099999999999998</v>
          </cell>
          <cell r="AS179">
            <v>45.300000000000004</v>
          </cell>
          <cell r="AT179">
            <v>18.099999999999998</v>
          </cell>
          <cell r="AU179">
            <v>12.2</v>
          </cell>
          <cell r="AV179">
            <v>12.6</v>
          </cell>
          <cell r="AW179">
            <v>9.4</v>
          </cell>
          <cell r="AX179">
            <v>2.1999999999999997</v>
          </cell>
          <cell r="AY179">
            <v>8.1</v>
          </cell>
          <cell r="AZ179">
            <v>14.2</v>
          </cell>
          <cell r="BA179">
            <v>11.600000000000001</v>
          </cell>
          <cell r="BB179">
            <v>13.200000000000001</v>
          </cell>
          <cell r="BC179">
            <v>36.199999999999996</v>
          </cell>
          <cell r="BD179">
            <v>16.8</v>
          </cell>
          <cell r="BE179">
            <v>0.89999999999999991</v>
          </cell>
          <cell r="BF179">
            <v>3.6999999999999997</v>
          </cell>
          <cell r="BG179">
            <v>3.1</v>
          </cell>
          <cell r="BH179">
            <v>7.0000000000000009</v>
          </cell>
          <cell r="BI179">
            <v>39.6</v>
          </cell>
          <cell r="BJ179">
            <v>45.800000000000004</v>
          </cell>
          <cell r="BK179">
            <v>0</v>
          </cell>
          <cell r="BL179">
            <v>0</v>
          </cell>
          <cell r="BM179">
            <v>0.5</v>
          </cell>
          <cell r="BN179">
            <v>13.4</v>
          </cell>
          <cell r="BO179">
            <v>81.2</v>
          </cell>
          <cell r="BP179">
            <v>5</v>
          </cell>
          <cell r="BQ179">
            <v>0.1</v>
          </cell>
          <cell r="BR179">
            <v>0.2</v>
          </cell>
          <cell r="BS179">
            <v>2.6</v>
          </cell>
          <cell r="BT179">
            <v>18.899999999999999</v>
          </cell>
          <cell r="BU179">
            <v>71.399999999999991</v>
          </cell>
          <cell r="BV179">
            <v>6.7</v>
          </cell>
          <cell r="BW179">
            <v>0</v>
          </cell>
          <cell r="BX179">
            <v>0</v>
          </cell>
          <cell r="BY179">
            <v>0</v>
          </cell>
          <cell r="BZ179">
            <v>0.70000000000000007</v>
          </cell>
          <cell r="CA179">
            <v>5.2</v>
          </cell>
          <cell r="CB179">
            <v>94.1</v>
          </cell>
          <cell r="CC179">
            <v>17</v>
          </cell>
          <cell r="CD179">
            <v>11.5</v>
          </cell>
          <cell r="CE179">
            <v>1.3</v>
          </cell>
          <cell r="CF179">
            <v>1.7999999999999998</v>
          </cell>
          <cell r="CG179">
            <v>0.5</v>
          </cell>
          <cell r="CH179">
            <v>11.799999999999999</v>
          </cell>
          <cell r="CI179">
            <v>9.4</v>
          </cell>
          <cell r="CJ179">
            <v>66.100000000000009</v>
          </cell>
          <cell r="CK179">
            <v>41</v>
          </cell>
          <cell r="CL179">
            <v>7.6</v>
          </cell>
          <cell r="CM179">
            <v>2.7</v>
          </cell>
          <cell r="CN179">
            <v>1.6</v>
          </cell>
          <cell r="CO179">
            <v>57.3</v>
          </cell>
          <cell r="CP179">
            <v>16.900000000000002</v>
          </cell>
          <cell r="CQ179">
            <v>24.2</v>
          </cell>
          <cell r="CR179">
            <v>19.100000000000001</v>
          </cell>
          <cell r="CS179">
            <v>39.700000000000003</v>
          </cell>
          <cell r="CT179">
            <v>35.099999999999994</v>
          </cell>
          <cell r="CU179">
            <v>64.900000000000006</v>
          </cell>
          <cell r="CV179">
            <v>39.300000000000004</v>
          </cell>
          <cell r="CW179">
            <v>60.699999999999996</v>
          </cell>
          <cell r="CX179">
            <v>38.5</v>
          </cell>
          <cell r="CY179">
            <v>20.100000000000001</v>
          </cell>
          <cell r="CZ179">
            <v>41.3</v>
          </cell>
          <cell r="DA179">
            <v>47.4</v>
          </cell>
          <cell r="DB179">
            <v>5.3</v>
          </cell>
          <cell r="DC179">
            <v>12</v>
          </cell>
          <cell r="DD179">
            <v>0.6</v>
          </cell>
          <cell r="DE179">
            <v>59.599999999999994</v>
          </cell>
          <cell r="DF179">
            <v>14.6</v>
          </cell>
          <cell r="DG179">
            <v>6.2</v>
          </cell>
          <cell r="DH179">
            <v>19.900000000000002</v>
          </cell>
          <cell r="DI179">
            <v>15.8</v>
          </cell>
          <cell r="DJ179">
            <v>23.1</v>
          </cell>
          <cell r="DK179">
            <v>20.399999999999999</v>
          </cell>
          <cell r="DL179">
            <v>11</v>
          </cell>
          <cell r="DM179">
            <v>34.4</v>
          </cell>
          <cell r="DN179">
            <v>15.4</v>
          </cell>
          <cell r="DO179">
            <v>34.9</v>
          </cell>
          <cell r="DP179">
            <v>13.700000000000001</v>
          </cell>
          <cell r="DQ179">
            <v>8.6</v>
          </cell>
          <cell r="DR179">
            <v>10.100000000000001</v>
          </cell>
          <cell r="DS179">
            <v>32.6</v>
          </cell>
          <cell r="DT179">
            <v>17.599999999999998</v>
          </cell>
          <cell r="DU179">
            <v>9.4625799999999996E-2</v>
          </cell>
          <cell r="DV179">
            <v>0.31876199999999999</v>
          </cell>
          <cell r="DW179">
            <v>0</v>
          </cell>
          <cell r="DX179">
            <v>9.0799400000000002E-2</v>
          </cell>
          <cell r="DY179">
            <v>0.12256500000000001</v>
          </cell>
          <cell r="DZ179">
            <v>2.2292000000000001</v>
          </cell>
          <cell r="EA179">
            <v>2.5436799999999997</v>
          </cell>
          <cell r="EB179">
            <v>1.85097</v>
          </cell>
          <cell r="EC179">
            <v>1.4167700000000001</v>
          </cell>
          <cell r="ED179">
            <v>3.8656099999999998</v>
          </cell>
          <cell r="EE179">
            <v>0.167071</v>
          </cell>
          <cell r="EF179">
            <v>19.019937300000002</v>
          </cell>
          <cell r="EG179">
            <v>9.5702611000000015</v>
          </cell>
          <cell r="EH179">
            <v>5.0824400000000001</v>
          </cell>
          <cell r="EI179">
            <v>8.076618100000001</v>
          </cell>
          <cell r="EJ179">
            <v>2.9702699999999997</v>
          </cell>
          <cell r="EK179">
            <v>0.32719899999999996</v>
          </cell>
          <cell r="EL179">
            <v>15.6801002</v>
          </cell>
          <cell r="EM179">
            <v>3.7914599999999998</v>
          </cell>
          <cell r="EN179">
            <v>2.6336200000000001</v>
          </cell>
          <cell r="EO179">
            <v>2.3089599999999999</v>
          </cell>
          <cell r="EP179">
            <v>2.1305200000000002</v>
          </cell>
          <cell r="EQ179">
            <v>1.42031</v>
          </cell>
          <cell r="ER179">
            <v>8.0007801999999995</v>
          </cell>
          <cell r="ES179">
            <v>2.4192299999999998</v>
          </cell>
          <cell r="ET179">
            <v>2.7416300000000002</v>
          </cell>
          <cell r="EU179">
            <v>0.81329999999999991</v>
          </cell>
          <cell r="EV179">
            <v>0.13034899999999999</v>
          </cell>
          <cell r="EW179">
            <v>0.18298699999999998</v>
          </cell>
          <cell r="EX179" t="str">
            <v>nd</v>
          </cell>
          <cell r="EY179">
            <v>0.254191</v>
          </cell>
          <cell r="EZ179" t="str">
            <v>nd</v>
          </cell>
          <cell r="FA179">
            <v>5.9502899999999997E-2</v>
          </cell>
          <cell r="FB179">
            <v>0.27661399999999997</v>
          </cell>
          <cell r="FC179">
            <v>0.45582900000000004</v>
          </cell>
          <cell r="FD179">
            <v>2.2113800000000001</v>
          </cell>
          <cell r="FE179">
            <v>0.60309099999999993</v>
          </cell>
          <cell r="FF179">
            <v>2.28023</v>
          </cell>
          <cell r="FG179">
            <v>5.2971699999999995</v>
          </cell>
          <cell r="FH179">
            <v>1.3041100000000001</v>
          </cell>
          <cell r="FI179">
            <v>3.4033099999999998</v>
          </cell>
          <cell r="FJ179">
            <v>6.3070861000000003</v>
          </cell>
          <cell r="FK179">
            <v>6.9669448999999997</v>
          </cell>
          <cell r="FL179">
            <v>4.87601</v>
          </cell>
          <cell r="FM179">
            <v>18.417035000000002</v>
          </cell>
          <cell r="FN179">
            <v>5.04976</v>
          </cell>
          <cell r="FO179">
            <v>4.0405000000000006</v>
          </cell>
          <cell r="FP179">
            <v>2.4338199999999999</v>
          </cell>
          <cell r="FQ179">
            <v>3.2164800000000002</v>
          </cell>
          <cell r="FR179">
            <v>3.01275</v>
          </cell>
          <cell r="FS179">
            <v>8.6663198999999995</v>
          </cell>
          <cell r="FT179">
            <v>6.4683349999999997</v>
          </cell>
          <cell r="FU179">
            <v>0.161574</v>
          </cell>
          <cell r="FV179">
            <v>3.3153700000000002</v>
          </cell>
          <cell r="FW179">
            <v>0.86938999999999989</v>
          </cell>
          <cell r="FX179">
            <v>2.85114</v>
          </cell>
          <cell r="FY179">
            <v>3.44401</v>
          </cell>
          <cell r="FZ179">
            <v>3.72655</v>
          </cell>
          <cell r="GA179">
            <v>0.26445000000000002</v>
          </cell>
          <cell r="GB179" t="str">
            <v>nd</v>
          </cell>
          <cell r="GC179">
            <v>0</v>
          </cell>
          <cell r="GD179" t="str">
            <v>nd</v>
          </cell>
          <cell r="GE179">
            <v>6.6195799999999999E-2</v>
          </cell>
          <cell r="GF179">
            <v>0.37830799999999998</v>
          </cell>
          <cell r="GG179">
            <v>2.8098200000000002</v>
          </cell>
          <cell r="GH179">
            <v>1.6208199999999999</v>
          </cell>
          <cell r="GI179">
            <v>1.9775799999999999</v>
          </cell>
          <cell r="GJ179">
            <v>3.1781200000000003</v>
          </cell>
          <cell r="GK179">
            <v>2.1097299999999999</v>
          </cell>
          <cell r="GL179">
            <v>0.16061599999999998</v>
          </cell>
          <cell r="GM179">
            <v>0.66120099999999993</v>
          </cell>
          <cell r="GN179">
            <v>1.39621</v>
          </cell>
          <cell r="GO179">
            <v>3.8115600000000001</v>
          </cell>
          <cell r="GP179">
            <v>18.547927999999999</v>
          </cell>
          <cell r="GQ179">
            <v>20.352981400000001</v>
          </cell>
          <cell r="GR179" t="str">
            <v>nd</v>
          </cell>
          <cell r="GS179">
            <v>0</v>
          </cell>
          <cell r="GT179" t="str">
            <v>nd</v>
          </cell>
          <cell r="GU179">
            <v>0.54005900000000007</v>
          </cell>
          <cell r="GV179">
            <v>9.9962420999999999</v>
          </cell>
          <cell r="GW179">
            <v>17.204085299999999</v>
          </cell>
          <cell r="GX179" t="str">
            <v>nd</v>
          </cell>
          <cell r="GY179">
            <v>0</v>
          </cell>
          <cell r="GZ179">
            <v>0</v>
          </cell>
          <cell r="HA179">
            <v>0.63405500000000004</v>
          </cell>
          <cell r="HB179">
            <v>7.8344211999999995</v>
          </cell>
          <cell r="HC179">
            <v>6.0600699999999996</v>
          </cell>
          <cell r="HD179">
            <v>0</v>
          </cell>
          <cell r="HE179">
            <v>0.33722600000000003</v>
          </cell>
          <cell r="HF179">
            <v>0</v>
          </cell>
          <cell r="HG179">
            <v>0.22208000000000003</v>
          </cell>
          <cell r="HH179">
            <v>7.5261999999999996E-2</v>
          </cell>
          <cell r="HI179">
            <v>0</v>
          </cell>
          <cell r="HJ179">
            <v>0</v>
          </cell>
          <cell r="HK179">
            <v>0</v>
          </cell>
          <cell r="HL179">
            <v>1.5848899999999999</v>
          </cell>
          <cell r="HM179">
            <v>9.9884883999999996</v>
          </cell>
          <cell r="HN179">
            <v>0.46480999999999995</v>
          </cell>
          <cell r="HO179">
            <v>0</v>
          </cell>
          <cell r="HP179">
            <v>0</v>
          </cell>
          <cell r="HQ179" t="str">
            <v>nd</v>
          </cell>
          <cell r="HR179">
            <v>6.6786151</v>
          </cell>
          <cell r="HS179">
            <v>36.714947100000003</v>
          </cell>
          <cell r="HT179">
            <v>1.54108</v>
          </cell>
          <cell r="HU179">
            <v>0</v>
          </cell>
          <cell r="HV179">
            <v>0</v>
          </cell>
          <cell r="HW179">
            <v>0.29161300000000001</v>
          </cell>
          <cell r="HX179">
            <v>2.6479200000000001</v>
          </cell>
          <cell r="HY179">
            <v>22.622977500000001</v>
          </cell>
          <cell r="HZ179">
            <v>2.3704000000000001</v>
          </cell>
          <cell r="IA179">
            <v>0</v>
          </cell>
          <cell r="IB179">
            <v>0</v>
          </cell>
          <cell r="IC179" t="str">
            <v>nd</v>
          </cell>
          <cell r="ID179">
            <v>2.2814399999999999</v>
          </cell>
          <cell r="IE179">
            <v>11.4792992</v>
          </cell>
          <cell r="IF179">
            <v>0.52502699999999991</v>
          </cell>
          <cell r="IG179">
            <v>0</v>
          </cell>
          <cell r="IH179">
            <v>0.204705</v>
          </cell>
          <cell r="II179" t="str">
            <v>nd</v>
          </cell>
          <cell r="IJ179">
            <v>0.36847400000000002</v>
          </cell>
          <cell r="IK179">
            <v>4.4680600000000001E-2</v>
          </cell>
          <cell r="IL179">
            <v>0</v>
          </cell>
          <cell r="IM179">
            <v>0</v>
          </cell>
          <cell r="IN179">
            <v>0.248608</v>
          </cell>
          <cell r="IO179">
            <v>5.4633399999999996</v>
          </cell>
          <cell r="IP179">
            <v>5.3195499999999996</v>
          </cell>
          <cell r="IQ179">
            <v>0.89209000000000005</v>
          </cell>
          <cell r="IR179">
            <v>0.113597</v>
          </cell>
          <cell r="IS179" t="str">
            <v>nd</v>
          </cell>
          <cell r="IT179">
            <v>2.1504300000000001</v>
          </cell>
          <cell r="IU179">
            <v>6.7433271000000001</v>
          </cell>
          <cell r="IV179">
            <v>33.926292099999998</v>
          </cell>
          <cell r="IW179">
            <v>2.0972200000000001</v>
          </cell>
          <cell r="IX179" t="str">
            <v>nd</v>
          </cell>
          <cell r="IY179">
            <v>0.127582</v>
          </cell>
          <cell r="IZ179">
            <v>0.17089699999999999</v>
          </cell>
          <cell r="JA179">
            <v>4.8210600000000001</v>
          </cell>
          <cell r="JB179">
            <v>20.1998283</v>
          </cell>
          <cell r="JC179">
            <v>2.6983300000000003</v>
          </cell>
          <cell r="JD179">
            <v>0</v>
          </cell>
          <cell r="JE179" t="str">
            <v>nd</v>
          </cell>
          <cell r="JF179" t="str">
            <v>nd</v>
          </cell>
          <cell r="JG179">
            <v>1.7272699999999999</v>
          </cell>
          <cell r="JH179">
            <v>11.511139099999999</v>
          </cell>
          <cell r="JI179">
            <v>1.01126</v>
          </cell>
          <cell r="JJ179">
            <v>0</v>
          </cell>
          <cell r="JK179" t="str">
            <v>nd</v>
          </cell>
          <cell r="JL179">
            <v>0</v>
          </cell>
          <cell r="JM179">
            <v>0</v>
          </cell>
          <cell r="JN179">
            <v>0.462231</v>
          </cell>
          <cell r="JO179">
            <v>0</v>
          </cell>
          <cell r="JP179">
            <v>0</v>
          </cell>
          <cell r="JQ179">
            <v>0</v>
          </cell>
          <cell r="JR179" t="str">
            <v>nd</v>
          </cell>
          <cell r="JS179">
            <v>1.88551</v>
          </cell>
          <cell r="JT179">
            <v>9.6467817999999994</v>
          </cell>
          <cell r="JU179">
            <v>0</v>
          </cell>
          <cell r="JV179">
            <v>0</v>
          </cell>
          <cell r="JW179">
            <v>0</v>
          </cell>
          <cell r="JX179" t="str">
            <v>nd</v>
          </cell>
          <cell r="JY179">
            <v>2.8396399999999997</v>
          </cell>
          <cell r="JZ179">
            <v>42.1843188</v>
          </cell>
          <cell r="KA179">
            <v>0</v>
          </cell>
          <cell r="KB179">
            <v>0</v>
          </cell>
          <cell r="KC179">
            <v>0</v>
          </cell>
          <cell r="KD179" t="str">
            <v>nd</v>
          </cell>
          <cell r="KE179">
            <v>0.350136</v>
          </cell>
          <cell r="KF179">
            <v>27.3515257</v>
          </cell>
          <cell r="KG179">
            <v>0</v>
          </cell>
          <cell r="KH179">
            <v>0</v>
          </cell>
          <cell r="KI179">
            <v>0</v>
          </cell>
          <cell r="KJ179">
            <v>0</v>
          </cell>
          <cell r="KK179">
            <v>0.14203299999999999</v>
          </cell>
          <cell r="KL179">
            <v>14.317284699999998</v>
          </cell>
          <cell r="KM179">
            <v>55.000000000000007</v>
          </cell>
          <cell r="KN179">
            <v>22.900000000000002</v>
          </cell>
          <cell r="KO179">
            <v>7.1999999999999993</v>
          </cell>
          <cell r="KP179">
            <v>6.6000000000000005</v>
          </cell>
          <cell r="KQ179">
            <v>7.9</v>
          </cell>
          <cell r="KR179">
            <v>0.4</v>
          </cell>
          <cell r="KS179">
            <v>53.900000000000006</v>
          </cell>
          <cell r="KT179">
            <v>22.5</v>
          </cell>
          <cell r="KU179">
            <v>7.1</v>
          </cell>
          <cell r="KV179">
            <v>7.3999999999999995</v>
          </cell>
          <cell r="KW179">
            <v>8.7999999999999989</v>
          </cell>
          <cell r="KX179">
            <v>0.4</v>
          </cell>
          <cell r="KY179"/>
          <cell r="KZ179"/>
          <cell r="LA179"/>
          <cell r="LB179"/>
          <cell r="LC179"/>
          <cell r="LD179"/>
          <cell r="LE179"/>
          <cell r="LF179"/>
          <cell r="LG179"/>
          <cell r="LH179"/>
          <cell r="LI179"/>
          <cell r="LJ179"/>
          <cell r="LK179"/>
          <cell r="LL179"/>
          <cell r="LM179"/>
          <cell r="LN179"/>
          <cell r="LO179"/>
        </row>
        <row r="180">
          <cell r="A180" t="str">
            <v>AEV2</v>
          </cell>
          <cell r="B180" t="str">
            <v>180</v>
          </cell>
          <cell r="C180" t="str">
            <v>NAF 4</v>
          </cell>
          <cell r="D180" t="str">
            <v>EV2</v>
          </cell>
          <cell r="E180" t="str">
            <v>A</v>
          </cell>
          <cell r="F180">
            <v>3.2</v>
          </cell>
          <cell r="G180">
            <v>15.1</v>
          </cell>
          <cell r="H180">
            <v>31.6</v>
          </cell>
          <cell r="I180">
            <v>39.6</v>
          </cell>
          <cell r="J180">
            <v>10.6</v>
          </cell>
          <cell r="K180">
            <v>59</v>
          </cell>
          <cell r="L180">
            <v>30.3</v>
          </cell>
          <cell r="M180">
            <v>5.5</v>
          </cell>
          <cell r="N180">
            <v>5.0999999999999996</v>
          </cell>
          <cell r="O180">
            <v>30.4</v>
          </cell>
          <cell r="P180">
            <v>29.099999999999998</v>
          </cell>
          <cell r="Q180">
            <v>13.200000000000001</v>
          </cell>
          <cell r="R180">
            <v>7.3</v>
          </cell>
          <cell r="S180">
            <v>11.899999999999999</v>
          </cell>
          <cell r="T180">
            <v>31.8</v>
          </cell>
          <cell r="U180">
            <v>10.4</v>
          </cell>
          <cell r="V180">
            <v>23.3</v>
          </cell>
          <cell r="W180">
            <v>13.200000000000001</v>
          </cell>
          <cell r="X180">
            <v>81.899999999999991</v>
          </cell>
          <cell r="Y180">
            <v>4.9000000000000004</v>
          </cell>
          <cell r="Z180">
            <v>4.9000000000000004</v>
          </cell>
          <cell r="AA180">
            <v>39.800000000000004</v>
          </cell>
          <cell r="AB180">
            <v>8.9</v>
          </cell>
          <cell r="AC180">
            <v>53.7</v>
          </cell>
          <cell r="AD180">
            <v>23.599999999999998</v>
          </cell>
          <cell r="AE180">
            <v>51.5</v>
          </cell>
          <cell r="AF180">
            <v>48.5</v>
          </cell>
          <cell r="AG180">
            <v>40.400000000000006</v>
          </cell>
          <cell r="AH180">
            <v>59.599999999999994</v>
          </cell>
          <cell r="AI180">
            <v>45.2</v>
          </cell>
          <cell r="AJ180">
            <v>20.200000000000003</v>
          </cell>
          <cell r="AK180">
            <v>2.9000000000000004</v>
          </cell>
          <cell r="AL180">
            <v>24.3</v>
          </cell>
          <cell r="AM180">
            <v>7.3999999999999995</v>
          </cell>
          <cell r="AN180">
            <v>5.3</v>
          </cell>
          <cell r="AO180">
            <v>1.6</v>
          </cell>
          <cell r="AP180">
            <v>3.3000000000000003</v>
          </cell>
          <cell r="AQ180">
            <v>85.9</v>
          </cell>
          <cell r="AR180">
            <v>3.9</v>
          </cell>
          <cell r="AS180">
            <v>64.7</v>
          </cell>
          <cell r="AT180">
            <v>10.100000000000001</v>
          </cell>
          <cell r="AU180">
            <v>5.5</v>
          </cell>
          <cell r="AV180">
            <v>5.5</v>
          </cell>
          <cell r="AW180">
            <v>4.7</v>
          </cell>
          <cell r="AX180">
            <v>9.4</v>
          </cell>
          <cell r="AY180">
            <v>5</v>
          </cell>
          <cell r="AZ180">
            <v>4.9000000000000004</v>
          </cell>
          <cell r="BA180">
            <v>4.3999999999999995</v>
          </cell>
          <cell r="BB180">
            <v>6.6000000000000005</v>
          </cell>
          <cell r="BC180">
            <v>18</v>
          </cell>
          <cell r="BD180">
            <v>61.1</v>
          </cell>
          <cell r="BE180">
            <v>3.4000000000000004</v>
          </cell>
          <cell r="BF180">
            <v>2.2999999999999998</v>
          </cell>
          <cell r="BG180">
            <v>3.2</v>
          </cell>
          <cell r="BH180">
            <v>5.8000000000000007</v>
          </cell>
          <cell r="BI180">
            <v>21.099999999999998</v>
          </cell>
          <cell r="BJ180">
            <v>64.2</v>
          </cell>
          <cell r="BK180" t="str">
            <v>nd</v>
          </cell>
          <cell r="BL180" t="str">
            <v>nd</v>
          </cell>
          <cell r="BM180">
            <v>0.2</v>
          </cell>
          <cell r="BN180">
            <v>4.1000000000000005</v>
          </cell>
          <cell r="BO180">
            <v>44.6</v>
          </cell>
          <cell r="BP180">
            <v>51</v>
          </cell>
          <cell r="BQ180">
            <v>0.4</v>
          </cell>
          <cell r="BR180">
            <v>0.4</v>
          </cell>
          <cell r="BS180">
            <v>1</v>
          </cell>
          <cell r="BT180">
            <v>9</v>
          </cell>
          <cell r="BU180">
            <v>42.199999999999996</v>
          </cell>
          <cell r="BV180">
            <v>47.199999999999996</v>
          </cell>
          <cell r="BW180">
            <v>0</v>
          </cell>
          <cell r="BX180">
            <v>0</v>
          </cell>
          <cell r="BY180" t="str">
            <v>nd</v>
          </cell>
          <cell r="BZ180">
            <v>0.1</v>
          </cell>
          <cell r="CA180">
            <v>1.3</v>
          </cell>
          <cell r="CB180">
            <v>98.6</v>
          </cell>
          <cell r="CC180">
            <v>14.6</v>
          </cell>
          <cell r="CD180">
            <v>6.4</v>
          </cell>
          <cell r="CE180">
            <v>0.4</v>
          </cell>
          <cell r="CF180">
            <v>1.4000000000000001</v>
          </cell>
          <cell r="CG180">
            <v>0.2</v>
          </cell>
          <cell r="CH180">
            <v>17.2</v>
          </cell>
          <cell r="CI180">
            <v>9.1999999999999993</v>
          </cell>
          <cell r="CJ180">
            <v>66.100000000000009</v>
          </cell>
          <cell r="CK180">
            <v>22.1</v>
          </cell>
          <cell r="CL180">
            <v>2.1</v>
          </cell>
          <cell r="CM180">
            <v>2.1</v>
          </cell>
          <cell r="CN180">
            <v>1.7000000000000002</v>
          </cell>
          <cell r="CO180">
            <v>76.7</v>
          </cell>
          <cell r="CP180">
            <v>22.6</v>
          </cell>
          <cell r="CQ180">
            <v>28.999999999999996</v>
          </cell>
          <cell r="CR180">
            <v>14.299999999999999</v>
          </cell>
          <cell r="CS180">
            <v>34.1</v>
          </cell>
          <cell r="CT180">
            <v>25</v>
          </cell>
          <cell r="CU180">
            <v>75</v>
          </cell>
          <cell r="CV180">
            <v>20.5</v>
          </cell>
          <cell r="CW180">
            <v>79.5</v>
          </cell>
          <cell r="CX180">
            <v>22.2</v>
          </cell>
          <cell r="CY180">
            <v>24</v>
          </cell>
          <cell r="CZ180">
            <v>53.800000000000004</v>
          </cell>
          <cell r="DA180">
            <v>29.7</v>
          </cell>
          <cell r="DB180">
            <v>10.4</v>
          </cell>
          <cell r="DC180">
            <v>13.4</v>
          </cell>
          <cell r="DD180">
            <v>1</v>
          </cell>
          <cell r="DE180">
            <v>59.9</v>
          </cell>
          <cell r="DF180">
            <v>19.400000000000002</v>
          </cell>
          <cell r="DG180">
            <v>7.5</v>
          </cell>
          <cell r="DH180">
            <v>16.900000000000002</v>
          </cell>
          <cell r="DI180">
            <v>13.700000000000001</v>
          </cell>
          <cell r="DJ180">
            <v>18.7</v>
          </cell>
          <cell r="DK180">
            <v>23.7</v>
          </cell>
          <cell r="DL180">
            <v>23.3</v>
          </cell>
          <cell r="DM180">
            <v>35.4</v>
          </cell>
          <cell r="DN180">
            <v>8</v>
          </cell>
          <cell r="DO180">
            <v>26.900000000000002</v>
          </cell>
          <cell r="DP180">
            <v>5.8999999999999995</v>
          </cell>
          <cell r="DQ180">
            <v>0.8</v>
          </cell>
          <cell r="DR180">
            <v>7.0000000000000009</v>
          </cell>
          <cell r="DS180">
            <v>11.700000000000001</v>
          </cell>
          <cell r="DT180">
            <v>21.9</v>
          </cell>
          <cell r="DU180">
            <v>0.43943699999999997</v>
          </cell>
          <cell r="DV180">
            <v>0.595912</v>
          </cell>
          <cell r="DW180">
            <v>0.146923</v>
          </cell>
          <cell r="DX180">
            <v>0.15995799999999999</v>
          </cell>
          <cell r="DY180">
            <v>1.3990400000000001</v>
          </cell>
          <cell r="DZ180">
            <v>6.1594899999999999</v>
          </cell>
          <cell r="EA180">
            <v>2.7512000000000003</v>
          </cell>
          <cell r="EB180">
            <v>2.0558700000000001</v>
          </cell>
          <cell r="EC180">
            <v>1.9336499999999999</v>
          </cell>
          <cell r="ED180">
            <v>1.2481799999999998</v>
          </cell>
          <cell r="EE180">
            <v>0.87107999999999997</v>
          </cell>
          <cell r="EF180">
            <v>19.4741237</v>
          </cell>
          <cell r="EG180">
            <v>4.3456299999999999</v>
          </cell>
          <cell r="EH180">
            <v>1.91157</v>
          </cell>
          <cell r="EI180">
            <v>1.89557</v>
          </cell>
          <cell r="EJ180">
            <v>1.5974900000000001</v>
          </cell>
          <cell r="EK180">
            <v>2.4098000000000002</v>
          </cell>
          <cell r="EL180">
            <v>30.229542500000001</v>
          </cell>
          <cell r="EM180">
            <v>2.2433899999999998</v>
          </cell>
          <cell r="EN180">
            <v>1.1565700000000001</v>
          </cell>
          <cell r="EO180">
            <v>1.2580499999999999</v>
          </cell>
          <cell r="EP180">
            <v>1.1416000000000002</v>
          </cell>
          <cell r="EQ180">
            <v>3.5678200000000002</v>
          </cell>
          <cell r="ER180">
            <v>8.3434975999999992</v>
          </cell>
          <cell r="ES180">
            <v>0.68413800000000002</v>
          </cell>
          <cell r="ET180">
            <v>0.24490100000000001</v>
          </cell>
          <cell r="EU180">
            <v>0.25036700000000001</v>
          </cell>
          <cell r="EV180">
            <v>0.144978</v>
          </cell>
          <cell r="EW180">
            <v>1.19757</v>
          </cell>
          <cell r="EX180">
            <v>7.8932500000000003E-2</v>
          </cell>
          <cell r="EY180">
            <v>0.73491299999999993</v>
          </cell>
          <cell r="EZ180" t="str">
            <v>nd</v>
          </cell>
          <cell r="FA180">
            <v>0.23199599999999998</v>
          </cell>
          <cell r="FB180">
            <v>2.03667</v>
          </cell>
          <cell r="FC180">
            <v>0.72850199999999998</v>
          </cell>
          <cell r="FD180">
            <v>0.91243999999999992</v>
          </cell>
          <cell r="FE180">
            <v>0.80116000000000009</v>
          </cell>
          <cell r="FF180">
            <v>1.01728</v>
          </cell>
          <cell r="FG180">
            <v>2.6275400000000002</v>
          </cell>
          <cell r="FH180">
            <v>8.9707956000000006</v>
          </cell>
          <cell r="FI180">
            <v>1.97542</v>
          </cell>
          <cell r="FJ180">
            <v>1.80779</v>
          </cell>
          <cell r="FK180">
            <v>1.8986099999999999</v>
          </cell>
          <cell r="FL180">
            <v>2.1700900000000001</v>
          </cell>
          <cell r="FM180">
            <v>5.8645399999999999</v>
          </cell>
          <cell r="FN180">
            <v>17.9310127</v>
          </cell>
          <cell r="FO180">
            <v>2.0762499999999999</v>
          </cell>
          <cell r="FP180">
            <v>1.68716</v>
          </cell>
          <cell r="FQ180">
            <v>1.39392</v>
          </cell>
          <cell r="FR180">
            <v>2.3254199999999998</v>
          </cell>
          <cell r="FS180">
            <v>6.9144077999999993</v>
          </cell>
          <cell r="FT180">
            <v>25.381535400000001</v>
          </cell>
          <cell r="FU180">
            <v>0.16698100000000002</v>
          </cell>
          <cell r="FV180">
            <v>0.39300200000000002</v>
          </cell>
          <cell r="FW180">
            <v>0.28431200000000001</v>
          </cell>
          <cell r="FX180">
            <v>0.85354000000000008</v>
          </cell>
          <cell r="FY180">
            <v>1.8094999999999999</v>
          </cell>
          <cell r="FZ180">
            <v>6.7660727999999999</v>
          </cell>
          <cell r="GA180">
            <v>1.75295</v>
          </cell>
          <cell r="GB180">
            <v>0.20105700000000001</v>
          </cell>
          <cell r="GC180">
            <v>0.17760400000000001</v>
          </cell>
          <cell r="GD180">
            <v>0.12950699999999998</v>
          </cell>
          <cell r="GE180">
            <v>0.64616200000000001</v>
          </cell>
          <cell r="GF180">
            <v>0.76075500000000007</v>
          </cell>
          <cell r="GG180">
            <v>1.1284399999999999</v>
          </cell>
          <cell r="GH180">
            <v>1.9435799999999999</v>
          </cell>
          <cell r="GI180">
            <v>2.0666000000000002</v>
          </cell>
          <cell r="GJ180">
            <v>4.0181800000000001</v>
          </cell>
          <cell r="GK180">
            <v>5.3706300000000002</v>
          </cell>
          <cell r="GL180">
            <v>0.46954199999999996</v>
          </cell>
          <cell r="GM180">
            <v>0.49197000000000002</v>
          </cell>
          <cell r="GN180">
            <v>0.90123000000000009</v>
          </cell>
          <cell r="GO180">
            <v>2.7431799999999997</v>
          </cell>
          <cell r="GP180">
            <v>9.1350087000000002</v>
          </cell>
          <cell r="GQ180">
            <v>17.813745000000001</v>
          </cell>
          <cell r="GR180">
            <v>0.39882000000000001</v>
          </cell>
          <cell r="GS180">
            <v>0.22582199999999999</v>
          </cell>
          <cell r="GT180">
            <v>0.17450099999999999</v>
          </cell>
          <cell r="GU180">
            <v>0.633907</v>
          </cell>
          <cell r="GV180">
            <v>5.87425</v>
          </cell>
          <cell r="GW180">
            <v>32.265756000000003</v>
          </cell>
          <cell r="GX180">
            <v>0</v>
          </cell>
          <cell r="GY180">
            <v>4.9386899999999997E-2</v>
          </cell>
          <cell r="GZ180">
            <v>0</v>
          </cell>
          <cell r="HA180">
            <v>0.274783</v>
          </cell>
          <cell r="HB180">
            <v>1.8920699999999999</v>
          </cell>
          <cell r="HC180">
            <v>8.0172571999999995</v>
          </cell>
          <cell r="HD180">
            <v>0</v>
          </cell>
          <cell r="HE180">
            <v>1.0823</v>
          </cell>
          <cell r="HF180">
            <v>0</v>
          </cell>
          <cell r="HG180" t="str">
            <v>nd</v>
          </cell>
          <cell r="HH180">
            <v>2.00101</v>
          </cell>
          <cell r="HI180">
            <v>0</v>
          </cell>
          <cell r="HJ180">
            <v>0</v>
          </cell>
          <cell r="HK180">
            <v>5.5470599999999995E-2</v>
          </cell>
          <cell r="HL180">
            <v>0.62779799999999997</v>
          </cell>
          <cell r="HM180">
            <v>6.2871922999999992</v>
          </cell>
          <cell r="HN180">
            <v>8.0520010000000006</v>
          </cell>
          <cell r="HO180">
            <v>0</v>
          </cell>
          <cell r="HP180">
            <v>0</v>
          </cell>
          <cell r="HQ180">
            <v>9.9219000000000002E-2</v>
          </cell>
          <cell r="HR180">
            <v>1.27129</v>
          </cell>
          <cell r="HS180">
            <v>14.6539854</v>
          </cell>
          <cell r="HT180">
            <v>15.6820503</v>
          </cell>
          <cell r="HU180" t="str">
            <v>nd</v>
          </cell>
          <cell r="HV180">
            <v>0</v>
          </cell>
          <cell r="HW180" t="str">
            <v>nd</v>
          </cell>
          <cell r="HX180">
            <v>1.6966399999999999</v>
          </cell>
          <cell r="HY180">
            <v>17.4705336</v>
          </cell>
          <cell r="HZ180">
            <v>20.463036600000002</v>
          </cell>
          <cell r="IA180">
            <v>0</v>
          </cell>
          <cell r="IB180" t="str">
            <v>nd</v>
          </cell>
          <cell r="IC180">
            <v>0</v>
          </cell>
          <cell r="ID180">
            <v>0.49145100000000003</v>
          </cell>
          <cell r="IE180">
            <v>5.1419199999999998</v>
          </cell>
          <cell r="IF180">
            <v>4.7542900000000001</v>
          </cell>
          <cell r="IG180">
            <v>0.140485</v>
          </cell>
          <cell r="IH180">
            <v>0.51043399999999994</v>
          </cell>
          <cell r="II180" t="str">
            <v>nd</v>
          </cell>
          <cell r="IJ180">
            <v>0.21750099999999997</v>
          </cell>
          <cell r="IK180">
            <v>2.1285499999999997</v>
          </cell>
          <cell r="IL180">
            <v>0.17166399999999998</v>
          </cell>
          <cell r="IM180">
            <v>0.12708800000000001</v>
          </cell>
          <cell r="IN180">
            <v>0.13680200000000001</v>
          </cell>
          <cell r="IO180">
            <v>1.7480900000000001</v>
          </cell>
          <cell r="IP180">
            <v>5.1122399999999999</v>
          </cell>
          <cell r="IQ180">
            <v>7.8297372000000003</v>
          </cell>
          <cell r="IR180">
            <v>0</v>
          </cell>
          <cell r="IS180">
            <v>0.17874000000000001</v>
          </cell>
          <cell r="IT180">
            <v>0.354354</v>
          </cell>
          <cell r="IU180">
            <v>2.8572699999999998</v>
          </cell>
          <cell r="IV180">
            <v>14.263207599999999</v>
          </cell>
          <cell r="IW180">
            <v>14.470961700000002</v>
          </cell>
          <cell r="IX180" t="str">
            <v>nd</v>
          </cell>
          <cell r="IY180">
            <v>0</v>
          </cell>
          <cell r="IZ180">
            <v>0.290441</v>
          </cell>
          <cell r="JA180">
            <v>3.06873</v>
          </cell>
          <cell r="JB180">
            <v>17.717848199999999</v>
          </cell>
          <cell r="JC180">
            <v>18.290350499999999</v>
          </cell>
          <cell r="JD180">
            <v>0</v>
          </cell>
          <cell r="JE180" t="str">
            <v>nd</v>
          </cell>
          <cell r="JF180" t="str">
            <v>nd</v>
          </cell>
          <cell r="JG180">
            <v>1.0779300000000001</v>
          </cell>
          <cell r="JH180">
            <v>4.5657999999999994</v>
          </cell>
          <cell r="JI180">
            <v>4.4579300000000002</v>
          </cell>
          <cell r="JJ180">
            <v>0</v>
          </cell>
          <cell r="JK180">
            <v>0</v>
          </cell>
          <cell r="JL180">
            <v>0</v>
          </cell>
          <cell r="JM180">
            <v>0</v>
          </cell>
          <cell r="JN180">
            <v>3.0560799999999997</v>
          </cell>
          <cell r="JO180">
            <v>0</v>
          </cell>
          <cell r="JP180">
            <v>0</v>
          </cell>
          <cell r="JQ180" t="str">
            <v>nd</v>
          </cell>
          <cell r="JR180">
            <v>0</v>
          </cell>
          <cell r="JS180">
            <v>0.20033099999999998</v>
          </cell>
          <cell r="JT180">
            <v>14.718666299999999</v>
          </cell>
          <cell r="JU180">
            <v>0</v>
          </cell>
          <cell r="JV180">
            <v>0</v>
          </cell>
          <cell r="JW180">
            <v>0</v>
          </cell>
          <cell r="JX180" t="str">
            <v>nd</v>
          </cell>
          <cell r="JY180">
            <v>0.53610000000000002</v>
          </cell>
          <cell r="JZ180">
            <v>31.192613200000004</v>
          </cell>
          <cell r="KA180">
            <v>0</v>
          </cell>
          <cell r="KB180">
            <v>0</v>
          </cell>
          <cell r="KC180">
            <v>0</v>
          </cell>
          <cell r="KD180" t="str">
            <v>nd</v>
          </cell>
          <cell r="KE180">
            <v>0.51303700000000008</v>
          </cell>
          <cell r="KF180">
            <v>39.2510482</v>
          </cell>
          <cell r="KG180">
            <v>0</v>
          </cell>
          <cell r="KH180">
            <v>0</v>
          </cell>
          <cell r="KI180">
            <v>0</v>
          </cell>
          <cell r="KJ180">
            <v>0</v>
          </cell>
          <cell r="KK180">
            <v>5.2513900000000002E-2</v>
          </cell>
          <cell r="KL180">
            <v>10.3737168</v>
          </cell>
          <cell r="KM180">
            <v>69.199999999999989</v>
          </cell>
          <cell r="KN180">
            <v>12</v>
          </cell>
          <cell r="KO180">
            <v>8.6</v>
          </cell>
          <cell r="KP180">
            <v>4.2</v>
          </cell>
          <cell r="KQ180">
            <v>5.8999999999999995</v>
          </cell>
          <cell r="KR180">
            <v>0.1</v>
          </cell>
          <cell r="KS180">
            <v>68.400000000000006</v>
          </cell>
          <cell r="KT180">
            <v>12</v>
          </cell>
          <cell r="KU180">
            <v>8.7999999999999989</v>
          </cell>
          <cell r="KV180">
            <v>4.3999999999999995</v>
          </cell>
          <cell r="KW180">
            <v>6.4</v>
          </cell>
          <cell r="KX180">
            <v>0.1</v>
          </cell>
          <cell r="KY180"/>
          <cell r="KZ180"/>
          <cell r="LA180"/>
          <cell r="LB180"/>
          <cell r="LC180"/>
          <cell r="LD180"/>
          <cell r="LE180"/>
          <cell r="LF180"/>
          <cell r="LG180"/>
          <cell r="LH180"/>
          <cell r="LI180"/>
          <cell r="LJ180"/>
          <cell r="LK180"/>
          <cell r="LL180"/>
          <cell r="LM180"/>
          <cell r="LN180"/>
          <cell r="LO180"/>
        </row>
        <row r="181">
          <cell r="A181" t="str">
            <v>BEV2</v>
          </cell>
          <cell r="B181" t="str">
            <v>181</v>
          </cell>
          <cell r="C181" t="str">
            <v>NAF 4</v>
          </cell>
          <cell r="D181" t="str">
            <v>EV2</v>
          </cell>
          <cell r="E181" t="str">
            <v>B</v>
          </cell>
          <cell r="F181">
            <v>2.1999999999999997</v>
          </cell>
          <cell r="G181">
            <v>9.4</v>
          </cell>
          <cell r="H181">
            <v>34.300000000000004</v>
          </cell>
          <cell r="I181">
            <v>42.6</v>
          </cell>
          <cell r="J181">
            <v>11.4</v>
          </cell>
          <cell r="K181">
            <v>59</v>
          </cell>
          <cell r="L181">
            <v>28.799999999999997</v>
          </cell>
          <cell r="M181">
            <v>6.2</v>
          </cell>
          <cell r="N181">
            <v>6</v>
          </cell>
          <cell r="O181">
            <v>28.1</v>
          </cell>
          <cell r="P181">
            <v>33.5</v>
          </cell>
          <cell r="Q181">
            <v>12.1</v>
          </cell>
          <cell r="R181">
            <v>7.3999999999999995</v>
          </cell>
          <cell r="S181">
            <v>15.1</v>
          </cell>
          <cell r="T181">
            <v>27</v>
          </cell>
          <cell r="U181">
            <v>9.4</v>
          </cell>
          <cell r="V181">
            <v>23.7</v>
          </cell>
          <cell r="W181">
            <v>13.900000000000002</v>
          </cell>
          <cell r="X181">
            <v>77.900000000000006</v>
          </cell>
          <cell r="Y181">
            <v>8.1</v>
          </cell>
          <cell r="Z181">
            <v>4.5999999999999996</v>
          </cell>
          <cell r="AA181">
            <v>43.5</v>
          </cell>
          <cell r="AB181">
            <v>13</v>
          </cell>
          <cell r="AC181">
            <v>56.499999999999993</v>
          </cell>
          <cell r="AD181">
            <v>25.2</v>
          </cell>
          <cell r="AE181">
            <v>59</v>
          </cell>
          <cell r="AF181">
            <v>41</v>
          </cell>
          <cell r="AG181">
            <v>63.4</v>
          </cell>
          <cell r="AH181">
            <v>36.6</v>
          </cell>
          <cell r="AI181">
            <v>37.1</v>
          </cell>
          <cell r="AJ181">
            <v>15.5</v>
          </cell>
          <cell r="AK181">
            <v>2.4</v>
          </cell>
          <cell r="AL181">
            <v>38.5</v>
          </cell>
          <cell r="AM181">
            <v>6.5</v>
          </cell>
          <cell r="AN181">
            <v>9</v>
          </cell>
          <cell r="AO181">
            <v>3.2</v>
          </cell>
          <cell r="AP181">
            <v>2.7</v>
          </cell>
          <cell r="AQ181">
            <v>78</v>
          </cell>
          <cell r="AR181">
            <v>7.0000000000000009</v>
          </cell>
          <cell r="AS181">
            <v>61.199999999999996</v>
          </cell>
          <cell r="AT181">
            <v>12.8</v>
          </cell>
          <cell r="AU181">
            <v>6.6000000000000005</v>
          </cell>
          <cell r="AV181">
            <v>6.9</v>
          </cell>
          <cell r="AW181">
            <v>6.2</v>
          </cell>
          <cell r="AX181">
            <v>6.3</v>
          </cell>
          <cell r="AY181">
            <v>7.0000000000000009</v>
          </cell>
          <cell r="AZ181">
            <v>7.6</v>
          </cell>
          <cell r="BA181">
            <v>6</v>
          </cell>
          <cell r="BB181">
            <v>7.9</v>
          </cell>
          <cell r="BC181">
            <v>26.1</v>
          </cell>
          <cell r="BD181">
            <v>45.300000000000004</v>
          </cell>
          <cell r="BE181">
            <v>1.5</v>
          </cell>
          <cell r="BF181">
            <v>1.6</v>
          </cell>
          <cell r="BG181">
            <v>2.1999999999999997</v>
          </cell>
          <cell r="BH181">
            <v>6.8000000000000007</v>
          </cell>
          <cell r="BI181">
            <v>32.300000000000004</v>
          </cell>
          <cell r="BJ181">
            <v>55.500000000000007</v>
          </cell>
          <cell r="BK181">
            <v>0</v>
          </cell>
          <cell r="BL181" t="str">
            <v>nd</v>
          </cell>
          <cell r="BM181">
            <v>0.2</v>
          </cell>
          <cell r="BN181">
            <v>9</v>
          </cell>
          <cell r="BO181">
            <v>70.3</v>
          </cell>
          <cell r="BP181">
            <v>20.5</v>
          </cell>
          <cell r="BQ181">
            <v>0.1</v>
          </cell>
          <cell r="BR181">
            <v>0.3</v>
          </cell>
          <cell r="BS181">
            <v>1</v>
          </cell>
          <cell r="BT181">
            <v>12.5</v>
          </cell>
          <cell r="BU181">
            <v>62.8</v>
          </cell>
          <cell r="BV181">
            <v>23.200000000000003</v>
          </cell>
          <cell r="BW181">
            <v>0</v>
          </cell>
          <cell r="BX181">
            <v>0</v>
          </cell>
          <cell r="BY181">
            <v>0</v>
          </cell>
          <cell r="BZ181">
            <v>0.1</v>
          </cell>
          <cell r="CA181">
            <v>1.3</v>
          </cell>
          <cell r="CB181">
            <v>98.6</v>
          </cell>
          <cell r="CC181">
            <v>17.8</v>
          </cell>
          <cell r="CD181">
            <v>11.1</v>
          </cell>
          <cell r="CE181">
            <v>1.3</v>
          </cell>
          <cell r="CF181">
            <v>1.9</v>
          </cell>
          <cell r="CG181">
            <v>0.6</v>
          </cell>
          <cell r="CH181">
            <v>17</v>
          </cell>
          <cell r="CI181">
            <v>9.8000000000000007</v>
          </cell>
          <cell r="CJ181">
            <v>60.8</v>
          </cell>
          <cell r="CK181">
            <v>28.7</v>
          </cell>
          <cell r="CL181">
            <v>3.4000000000000004</v>
          </cell>
          <cell r="CM181">
            <v>4.1000000000000005</v>
          </cell>
          <cell r="CN181">
            <v>2</v>
          </cell>
          <cell r="CO181">
            <v>68.600000000000009</v>
          </cell>
          <cell r="CP181">
            <v>22.900000000000002</v>
          </cell>
          <cell r="CQ181">
            <v>28.599999999999998</v>
          </cell>
          <cell r="CR181">
            <v>12.2</v>
          </cell>
          <cell r="CS181">
            <v>36.299999999999997</v>
          </cell>
          <cell r="CT181">
            <v>27.1</v>
          </cell>
          <cell r="CU181">
            <v>72.899999999999991</v>
          </cell>
          <cell r="CV181">
            <v>24.7</v>
          </cell>
          <cell r="CW181">
            <v>75.3</v>
          </cell>
          <cell r="CX181">
            <v>22</v>
          </cell>
          <cell r="CY181">
            <v>23.400000000000002</v>
          </cell>
          <cell r="CZ181">
            <v>54.6</v>
          </cell>
          <cell r="DA181">
            <v>36.5</v>
          </cell>
          <cell r="DB181">
            <v>6.5</v>
          </cell>
          <cell r="DC181">
            <v>17</v>
          </cell>
          <cell r="DD181">
            <v>1.5</v>
          </cell>
          <cell r="DE181">
            <v>54</v>
          </cell>
          <cell r="DF181">
            <v>21</v>
          </cell>
          <cell r="DG181">
            <v>9.6</v>
          </cell>
          <cell r="DH181">
            <v>19.8</v>
          </cell>
          <cell r="DI181">
            <v>12.2</v>
          </cell>
          <cell r="DJ181">
            <v>15.7</v>
          </cell>
          <cell r="DK181">
            <v>21.6</v>
          </cell>
          <cell r="DL181">
            <v>19.7</v>
          </cell>
          <cell r="DM181">
            <v>32.4</v>
          </cell>
          <cell r="DN181">
            <v>11.3</v>
          </cell>
          <cell r="DO181">
            <v>29.2</v>
          </cell>
          <cell r="DP181">
            <v>10.4</v>
          </cell>
          <cell r="DQ181">
            <v>3</v>
          </cell>
          <cell r="DR181">
            <v>7.3</v>
          </cell>
          <cell r="DS181">
            <v>18.8</v>
          </cell>
          <cell r="DT181">
            <v>21</v>
          </cell>
          <cell r="DU181">
            <v>0.41136499999999998</v>
          </cell>
          <cell r="DV181">
            <v>0.87168999999999996</v>
          </cell>
          <cell r="DW181">
            <v>9.7765000000000005E-2</v>
          </cell>
          <cell r="DX181">
            <v>0.22589099999999998</v>
          </cell>
          <cell r="DY181">
            <v>0.47951799999999994</v>
          </cell>
          <cell r="DZ181">
            <v>3.395</v>
          </cell>
          <cell r="EA181">
            <v>1.8111700000000002</v>
          </cell>
          <cell r="EB181">
            <v>1.23766</v>
          </cell>
          <cell r="EC181">
            <v>1.5170599999999999</v>
          </cell>
          <cell r="ED181">
            <v>0.84600000000000009</v>
          </cell>
          <cell r="EE181">
            <v>0.60847799999999996</v>
          </cell>
          <cell r="EF181">
            <v>18.414437400000001</v>
          </cell>
          <cell r="EG181">
            <v>5.9414099999999994</v>
          </cell>
          <cell r="EH181">
            <v>2.9605999999999999</v>
          </cell>
          <cell r="EI181">
            <v>3.11151</v>
          </cell>
          <cell r="EJ181">
            <v>2.14981</v>
          </cell>
          <cell r="EK181">
            <v>1.96529</v>
          </cell>
          <cell r="EL181">
            <v>30.306344699999997</v>
          </cell>
          <cell r="EM181">
            <v>4.0217099999999997</v>
          </cell>
          <cell r="EN181">
            <v>1.8123</v>
          </cell>
          <cell r="EO181">
            <v>1.7015899999999999</v>
          </cell>
          <cell r="EP181">
            <v>1.9874200000000002</v>
          </cell>
          <cell r="EQ181">
            <v>2.55688</v>
          </cell>
          <cell r="ER181">
            <v>8.6469837999999992</v>
          </cell>
          <cell r="ES181">
            <v>0.90551999999999988</v>
          </cell>
          <cell r="ET181">
            <v>0.50888699999999998</v>
          </cell>
          <cell r="EU181">
            <v>0.32011700000000004</v>
          </cell>
          <cell r="EV181">
            <v>0.29645100000000002</v>
          </cell>
          <cell r="EW181">
            <v>0.74723600000000001</v>
          </cell>
          <cell r="EX181" t="str">
            <v>nd</v>
          </cell>
          <cell r="EY181">
            <v>0.97604000000000002</v>
          </cell>
          <cell r="EZ181" t="str">
            <v>nd</v>
          </cell>
          <cell r="FA181">
            <v>0.14332800000000001</v>
          </cell>
          <cell r="FB181">
            <v>0.92641000000000007</v>
          </cell>
          <cell r="FC181">
            <v>0.9196899999999999</v>
          </cell>
          <cell r="FD181">
            <v>0.65454199999999996</v>
          </cell>
          <cell r="FE181">
            <v>0.38055800000000001</v>
          </cell>
          <cell r="FF181">
            <v>0.97204000000000002</v>
          </cell>
          <cell r="FG181">
            <v>2.9113600000000002</v>
          </cell>
          <cell r="FH181">
            <v>3.5523699999999998</v>
          </cell>
          <cell r="FI181">
            <v>2.4228399999999999</v>
          </cell>
          <cell r="FJ181">
            <v>3.6799300000000001</v>
          </cell>
          <cell r="FK181">
            <v>2.79867</v>
          </cell>
          <cell r="FL181">
            <v>2.7728800000000002</v>
          </cell>
          <cell r="FM181">
            <v>9.2358472999999996</v>
          </cell>
          <cell r="FN181">
            <v>13.642432299999999</v>
          </cell>
          <cell r="FO181">
            <v>3.1392600000000002</v>
          </cell>
          <cell r="FP181">
            <v>2.8399299999999998</v>
          </cell>
          <cell r="FQ181">
            <v>2.1968200000000002</v>
          </cell>
          <cell r="FR181">
            <v>3.2206699999999997</v>
          </cell>
          <cell r="FS181">
            <v>10.2947244</v>
          </cell>
          <cell r="FT181">
            <v>21.044487799999999</v>
          </cell>
          <cell r="FU181">
            <v>0.47188100000000005</v>
          </cell>
          <cell r="FV181">
            <v>0.39715799999999996</v>
          </cell>
          <cell r="FW181">
            <v>0.59986700000000004</v>
          </cell>
          <cell r="FX181">
            <v>0.84147000000000005</v>
          </cell>
          <cell r="FY181">
            <v>2.7068600000000003</v>
          </cell>
          <cell r="FZ181">
            <v>6.10236</v>
          </cell>
          <cell r="GA181">
            <v>0.87017</v>
          </cell>
          <cell r="GB181">
            <v>0.31660099999999997</v>
          </cell>
          <cell r="GC181">
            <v>0.100143</v>
          </cell>
          <cell r="GD181">
            <v>9.1235199999999989E-2</v>
          </cell>
          <cell r="GE181">
            <v>0.33337100000000003</v>
          </cell>
          <cell r="GF181">
            <v>0.342256</v>
          </cell>
          <cell r="GG181">
            <v>0.87912999999999997</v>
          </cell>
          <cell r="GH181">
            <v>0.99900999999999995</v>
          </cell>
          <cell r="GI181">
            <v>1.6710800000000001</v>
          </cell>
          <cell r="GJ181">
            <v>2.8066299999999997</v>
          </cell>
          <cell r="GK181">
            <v>2.5512600000000001</v>
          </cell>
          <cell r="GL181">
            <v>0.14133399999999999</v>
          </cell>
          <cell r="GM181">
            <v>0.24469000000000002</v>
          </cell>
          <cell r="GN181">
            <v>0.86248000000000002</v>
          </cell>
          <cell r="GO181">
            <v>3.7992699999999999</v>
          </cell>
          <cell r="GP181">
            <v>13.467734500000001</v>
          </cell>
          <cell r="GQ181">
            <v>16.0505028</v>
          </cell>
          <cell r="GR181" t="str">
            <v>nd</v>
          </cell>
          <cell r="GS181" t="str">
            <v>nd</v>
          </cell>
          <cell r="GT181">
            <v>0.1</v>
          </cell>
          <cell r="GU181">
            <v>0.91217999999999999</v>
          </cell>
          <cell r="GV181">
            <v>11.598639199999999</v>
          </cell>
          <cell r="GW181">
            <v>29.838706799999997</v>
          </cell>
          <cell r="GX181" t="str">
            <v>nd</v>
          </cell>
          <cell r="GY181" t="str">
            <v>nd</v>
          </cell>
          <cell r="GZ181">
            <v>0.171237</v>
          </cell>
          <cell r="HA181">
            <v>0.29905799999999999</v>
          </cell>
          <cell r="HB181">
            <v>4.2531300000000005</v>
          </cell>
          <cell r="HC181">
            <v>6.6371105000000004</v>
          </cell>
          <cell r="HD181">
            <v>0</v>
          </cell>
          <cell r="HE181">
            <v>1.33484</v>
          </cell>
          <cell r="HF181">
            <v>0</v>
          </cell>
          <cell r="HG181">
            <v>0.141405</v>
          </cell>
          <cell r="HH181">
            <v>0.75681699999999996</v>
          </cell>
          <cell r="HI181">
            <v>0</v>
          </cell>
          <cell r="HJ181">
            <v>0</v>
          </cell>
          <cell r="HK181">
            <v>0</v>
          </cell>
          <cell r="HL181">
            <v>0.65550200000000003</v>
          </cell>
          <cell r="HM181">
            <v>6.2784858999999997</v>
          </cell>
          <cell r="HN181">
            <v>2.4276800000000001</v>
          </cell>
          <cell r="HO181">
            <v>0</v>
          </cell>
          <cell r="HP181">
            <v>0</v>
          </cell>
          <cell r="HQ181">
            <v>0.16441999999999998</v>
          </cell>
          <cell r="HR181">
            <v>3.5812499999999998</v>
          </cell>
          <cell r="HS181">
            <v>24.320369599999999</v>
          </cell>
          <cell r="HT181">
            <v>6.4716149999999999</v>
          </cell>
          <cell r="HU181">
            <v>0</v>
          </cell>
          <cell r="HV181">
            <v>0</v>
          </cell>
          <cell r="HW181" t="str">
            <v>nd</v>
          </cell>
          <cell r="HX181">
            <v>3.4826600000000001</v>
          </cell>
          <cell r="HY181">
            <v>29.759776799999997</v>
          </cell>
          <cell r="HZ181">
            <v>9.2386915999999992</v>
          </cell>
          <cell r="IA181">
            <v>0</v>
          </cell>
          <cell r="IB181" t="str">
            <v>nd</v>
          </cell>
          <cell r="IC181" t="str">
            <v>nd</v>
          </cell>
          <cell r="ID181">
            <v>1.08521</v>
          </cell>
          <cell r="IE181">
            <v>8.6583047999999998</v>
          </cell>
          <cell r="IF181">
            <v>1.5434700000000001</v>
          </cell>
          <cell r="IG181">
            <v>0</v>
          </cell>
          <cell r="IH181">
            <v>0.82077</v>
          </cell>
          <cell r="II181">
            <v>0.112645</v>
          </cell>
          <cell r="IJ181">
            <v>0.21373500000000001</v>
          </cell>
          <cell r="IK181">
            <v>1.0885100000000001</v>
          </cell>
          <cell r="IL181">
            <v>0</v>
          </cell>
          <cell r="IM181">
            <v>0.101369</v>
          </cell>
          <cell r="IN181">
            <v>0.22883100000000001</v>
          </cell>
          <cell r="IO181">
            <v>1.17232</v>
          </cell>
          <cell r="IP181">
            <v>5.2304200000000005</v>
          </cell>
          <cell r="IQ181">
            <v>2.55246</v>
          </cell>
          <cell r="IR181">
            <v>0.11613699999999999</v>
          </cell>
          <cell r="IS181">
            <v>0.10598300000000001</v>
          </cell>
          <cell r="IT181">
            <v>0.28113100000000002</v>
          </cell>
          <cell r="IU181">
            <v>4.3616200000000003</v>
          </cell>
          <cell r="IV181">
            <v>21.662303899999998</v>
          </cell>
          <cell r="IW181">
            <v>7.8875484999999994</v>
          </cell>
          <cell r="IX181" t="str">
            <v>nd</v>
          </cell>
          <cell r="IY181">
            <v>5.5734299999999994E-2</v>
          </cell>
          <cell r="IZ181">
            <v>0.35131400000000002</v>
          </cell>
          <cell r="JA181">
            <v>4.93485</v>
          </cell>
          <cell r="JB181">
            <v>27.9068009</v>
          </cell>
          <cell r="JC181">
            <v>9.4087130999999999</v>
          </cell>
          <cell r="JD181">
            <v>0</v>
          </cell>
          <cell r="JE181">
            <v>0</v>
          </cell>
          <cell r="JF181">
            <v>7.2691599999999995E-2</v>
          </cell>
          <cell r="JG181">
            <v>1.8020600000000002</v>
          </cell>
          <cell r="JH181">
            <v>7.2989861999999999</v>
          </cell>
          <cell r="JI181">
            <v>2.2095199999999999</v>
          </cell>
          <cell r="JJ181">
            <v>0</v>
          </cell>
          <cell r="JK181">
            <v>0.12076999999999999</v>
          </cell>
          <cell r="JL181">
            <v>0</v>
          </cell>
          <cell r="JM181">
            <v>0</v>
          </cell>
          <cell r="JN181">
            <v>2.1726800000000002</v>
          </cell>
          <cell r="JO181">
            <v>0</v>
          </cell>
          <cell r="JP181">
            <v>0</v>
          </cell>
          <cell r="JQ181">
            <v>0</v>
          </cell>
          <cell r="JR181">
            <v>0</v>
          </cell>
          <cell r="JS181">
            <v>0.115825</v>
          </cell>
          <cell r="JT181">
            <v>8.9738027000000002</v>
          </cell>
          <cell r="JU181">
            <v>0</v>
          </cell>
          <cell r="JV181">
            <v>0</v>
          </cell>
          <cell r="JW181">
            <v>0</v>
          </cell>
          <cell r="JX181">
            <v>6.63435E-2</v>
          </cell>
          <cell r="JY181">
            <v>0.38330500000000001</v>
          </cell>
          <cell r="JZ181">
            <v>34.0030067</v>
          </cell>
          <cell r="KA181">
            <v>0</v>
          </cell>
          <cell r="KB181">
            <v>0</v>
          </cell>
          <cell r="KC181">
            <v>0</v>
          </cell>
          <cell r="KD181">
            <v>0</v>
          </cell>
          <cell r="KE181">
            <v>0.53965699999999994</v>
          </cell>
          <cell r="KF181">
            <v>42.388666700000002</v>
          </cell>
          <cell r="KG181">
            <v>0</v>
          </cell>
          <cell r="KH181">
            <v>0</v>
          </cell>
          <cell r="KI181">
            <v>0</v>
          </cell>
          <cell r="KJ181">
            <v>0</v>
          </cell>
          <cell r="KK181">
            <v>0.14193800000000001</v>
          </cell>
          <cell r="KL181">
            <v>11.0940023</v>
          </cell>
          <cell r="KM181">
            <v>65</v>
          </cell>
          <cell r="KN181">
            <v>15.5</v>
          </cell>
          <cell r="KO181">
            <v>6.4</v>
          </cell>
          <cell r="KP181">
            <v>6.3</v>
          </cell>
          <cell r="KQ181">
            <v>6.7</v>
          </cell>
          <cell r="KR181">
            <v>0.1</v>
          </cell>
          <cell r="KS181">
            <v>63.9</v>
          </cell>
          <cell r="KT181">
            <v>15.4</v>
          </cell>
          <cell r="KU181">
            <v>6.6000000000000005</v>
          </cell>
          <cell r="KV181">
            <v>6.7</v>
          </cell>
          <cell r="KW181">
            <v>7.3</v>
          </cell>
          <cell r="KX181">
            <v>0.1</v>
          </cell>
          <cell r="KY181"/>
          <cell r="KZ181"/>
          <cell r="LA181"/>
          <cell r="LB181"/>
          <cell r="LC181"/>
          <cell r="LD181"/>
          <cell r="LE181"/>
          <cell r="LF181"/>
          <cell r="LG181"/>
          <cell r="LH181"/>
          <cell r="LI181"/>
          <cell r="LJ181"/>
          <cell r="LK181"/>
          <cell r="LL181"/>
          <cell r="LM181"/>
          <cell r="LN181"/>
          <cell r="LO181"/>
        </row>
        <row r="182">
          <cell r="A182" t="str">
            <v>CEV2</v>
          </cell>
          <cell r="B182" t="str">
            <v>182</v>
          </cell>
          <cell r="C182" t="str">
            <v>NAF 4</v>
          </cell>
          <cell r="D182" t="str">
            <v>EV2</v>
          </cell>
          <cell r="E182" t="str">
            <v>C</v>
          </cell>
          <cell r="F182"/>
          <cell r="G182"/>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cell r="BI182"/>
          <cell r="BJ182"/>
          <cell r="BK182"/>
          <cell r="BL182"/>
          <cell r="BM182"/>
          <cell r="BN182"/>
          <cell r="BO182"/>
          <cell r="BP182"/>
          <cell r="BQ182"/>
          <cell r="BR182"/>
          <cell r="BS182"/>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cell r="DO182"/>
          <cell r="DP182"/>
          <cell r="DQ182"/>
          <cell r="DR182"/>
          <cell r="DS182"/>
          <cell r="DT182"/>
          <cell r="DU182"/>
          <cell r="DV182"/>
          <cell r="DW182"/>
          <cell r="DX182"/>
          <cell r="DY182"/>
          <cell r="DZ182"/>
          <cell r="EA182"/>
          <cell r="EB182"/>
          <cell r="EC182"/>
          <cell r="ED182"/>
          <cell r="EE182"/>
          <cell r="EF182"/>
          <cell r="EG182"/>
          <cell r="EH182"/>
          <cell r="EI182"/>
          <cell r="EJ182"/>
          <cell r="EK182"/>
          <cell r="EL182"/>
          <cell r="EM182"/>
          <cell r="EN182"/>
          <cell r="EO182"/>
          <cell r="EP182"/>
          <cell r="EQ182"/>
          <cell r="ER182"/>
          <cell r="ES182"/>
          <cell r="ET182"/>
          <cell r="EU182"/>
          <cell r="EV182"/>
          <cell r="EW182"/>
          <cell r="EX182"/>
          <cell r="EY182"/>
          <cell r="EZ182"/>
          <cell r="FA182"/>
          <cell r="FB182"/>
          <cell r="FC182"/>
          <cell r="FD182"/>
          <cell r="FE182"/>
          <cell r="FF182"/>
          <cell r="FG182"/>
          <cell r="FH182"/>
          <cell r="FI182"/>
          <cell r="FJ182"/>
          <cell r="FK182"/>
          <cell r="FL182"/>
          <cell r="FM182"/>
          <cell r="FN182"/>
          <cell r="FO182"/>
          <cell r="FP182"/>
          <cell r="FQ182"/>
          <cell r="FR182"/>
          <cell r="FS182"/>
          <cell r="FT182"/>
          <cell r="FU182"/>
          <cell r="FV182"/>
          <cell r="FW182"/>
          <cell r="FX182"/>
          <cell r="FY182"/>
          <cell r="FZ182"/>
          <cell r="GA182"/>
          <cell r="GB182"/>
          <cell r="GC182"/>
          <cell r="GD182"/>
          <cell r="GE182"/>
          <cell r="GF182"/>
          <cell r="GG182"/>
          <cell r="GH182"/>
          <cell r="GI182"/>
          <cell r="GJ182"/>
          <cell r="GK182"/>
          <cell r="GL182"/>
          <cell r="GM182"/>
          <cell r="GN182"/>
          <cell r="GO182"/>
          <cell r="GP182"/>
          <cell r="GQ182"/>
          <cell r="GR182"/>
          <cell r="GS182"/>
          <cell r="GT182"/>
          <cell r="GU182"/>
          <cell r="GV182"/>
          <cell r="GW182"/>
          <cell r="GX182"/>
          <cell r="GY182"/>
          <cell r="GZ182"/>
          <cell r="HA182"/>
          <cell r="HB182"/>
          <cell r="HC182"/>
          <cell r="HD182"/>
          <cell r="HE182"/>
          <cell r="HF182"/>
          <cell r="HG182"/>
          <cell r="HH182"/>
          <cell r="HI182"/>
          <cell r="HJ182"/>
          <cell r="HK182"/>
          <cell r="HL182"/>
          <cell r="HM182"/>
          <cell r="HN182"/>
          <cell r="HO182"/>
          <cell r="HP182"/>
          <cell r="HQ182"/>
          <cell r="HR182"/>
          <cell r="HS182"/>
          <cell r="HT182"/>
          <cell r="HU182"/>
          <cell r="HV182"/>
          <cell r="HW182"/>
          <cell r="HX182"/>
          <cell r="HY182"/>
          <cell r="HZ182"/>
          <cell r="IA182"/>
          <cell r="IB182"/>
          <cell r="IC182"/>
          <cell r="ID182"/>
          <cell r="IE182"/>
          <cell r="IF182"/>
          <cell r="IG182"/>
          <cell r="IH182"/>
          <cell r="II182"/>
          <cell r="IJ182"/>
          <cell r="IK182"/>
          <cell r="IL182"/>
          <cell r="IM182"/>
          <cell r="IN182"/>
          <cell r="IO182"/>
          <cell r="IP182"/>
          <cell r="IQ182"/>
          <cell r="IR182"/>
          <cell r="IS182"/>
          <cell r="IT182"/>
          <cell r="IU182"/>
          <cell r="IV182"/>
          <cell r="IW182"/>
          <cell r="IX182"/>
          <cell r="IY182"/>
          <cell r="IZ182"/>
          <cell r="JA182"/>
          <cell r="JB182"/>
          <cell r="JC182"/>
          <cell r="JD182"/>
          <cell r="JE182"/>
          <cell r="JF182"/>
          <cell r="JG182"/>
          <cell r="JH182"/>
          <cell r="JI182"/>
          <cell r="JJ182"/>
          <cell r="JK182"/>
          <cell r="JL182"/>
          <cell r="JM182"/>
          <cell r="JN182"/>
          <cell r="JO182"/>
          <cell r="JP182"/>
          <cell r="JQ182"/>
          <cell r="JR182"/>
          <cell r="JS182"/>
          <cell r="JT182"/>
          <cell r="JU182"/>
          <cell r="JV182"/>
          <cell r="JW182"/>
          <cell r="JX182"/>
          <cell r="JY182"/>
          <cell r="JZ182"/>
          <cell r="KA182"/>
          <cell r="KB182"/>
          <cell r="KC182"/>
          <cell r="KD182"/>
          <cell r="KE182"/>
          <cell r="KF182"/>
          <cell r="KG182"/>
          <cell r="KH182"/>
          <cell r="KI182"/>
          <cell r="KJ182"/>
          <cell r="KK182"/>
          <cell r="KL182"/>
          <cell r="KM182"/>
          <cell r="KN182"/>
          <cell r="KO182"/>
          <cell r="KP182"/>
          <cell r="KQ182"/>
          <cell r="KR182"/>
          <cell r="KS182"/>
          <cell r="KT182"/>
          <cell r="KU182"/>
          <cell r="KV182"/>
          <cell r="KW182"/>
          <cell r="KX182"/>
          <cell r="KY182"/>
          <cell r="KZ182"/>
          <cell r="LA182"/>
          <cell r="LB182"/>
          <cell r="LC182"/>
          <cell r="LD182"/>
          <cell r="LE182"/>
          <cell r="LF182"/>
          <cell r="LG182"/>
          <cell r="LH182"/>
          <cell r="LI182"/>
          <cell r="LJ182"/>
          <cell r="LK182"/>
          <cell r="LL182"/>
          <cell r="LM182"/>
          <cell r="LN182"/>
          <cell r="LO182"/>
        </row>
        <row r="183">
          <cell r="A183"/>
          <cell r="B183"/>
          <cell r="C183"/>
          <cell r="D183"/>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cell r="BI183"/>
          <cell r="BJ183"/>
          <cell r="BK183"/>
          <cell r="BL183"/>
          <cell r="BM183"/>
          <cell r="BN183"/>
          <cell r="BO183"/>
          <cell r="BP183"/>
          <cell r="BQ183"/>
          <cell r="BR183"/>
          <cell r="BS183"/>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cell r="DO183"/>
          <cell r="DP183"/>
          <cell r="DQ183"/>
          <cell r="DR183"/>
          <cell r="DS183"/>
          <cell r="DT183"/>
          <cell r="DU183"/>
          <cell r="DV183"/>
          <cell r="DW183"/>
          <cell r="DX183"/>
          <cell r="DY183"/>
          <cell r="DZ183"/>
          <cell r="EA183"/>
          <cell r="EB183"/>
          <cell r="EC183"/>
          <cell r="ED183"/>
          <cell r="EE183"/>
          <cell r="EF183"/>
          <cell r="EG183"/>
          <cell r="EH183"/>
          <cell r="EI183"/>
          <cell r="EJ183"/>
          <cell r="EK183"/>
          <cell r="EL183"/>
          <cell r="EM183"/>
          <cell r="EN183"/>
          <cell r="EO183"/>
          <cell r="EP183"/>
          <cell r="EQ183"/>
          <cell r="ER183"/>
          <cell r="ES183"/>
          <cell r="ET183"/>
          <cell r="EU183"/>
          <cell r="EV183"/>
          <cell r="EW183"/>
          <cell r="EX183"/>
          <cell r="EY183"/>
          <cell r="EZ183"/>
          <cell r="FA183"/>
          <cell r="FB183"/>
          <cell r="FC183"/>
          <cell r="FD183"/>
          <cell r="FE183"/>
          <cell r="FF183"/>
          <cell r="FG183"/>
          <cell r="FH183"/>
          <cell r="FI183"/>
          <cell r="FJ183"/>
          <cell r="FK183"/>
          <cell r="FL183"/>
          <cell r="FM183"/>
          <cell r="FN183"/>
          <cell r="FO183"/>
          <cell r="FP183"/>
          <cell r="FQ183"/>
          <cell r="FR183"/>
          <cell r="FS183"/>
          <cell r="FT183"/>
          <cell r="FU183"/>
          <cell r="FV183"/>
          <cell r="FW183"/>
          <cell r="FX183"/>
          <cell r="FY183"/>
          <cell r="FZ183"/>
          <cell r="GA183"/>
          <cell r="GB183"/>
          <cell r="GC183"/>
          <cell r="GD183"/>
          <cell r="GE183"/>
          <cell r="GF183"/>
          <cell r="GG183"/>
          <cell r="GH183"/>
          <cell r="GI183"/>
          <cell r="GJ183"/>
          <cell r="GK183"/>
          <cell r="GL183"/>
          <cell r="GM183"/>
          <cell r="GN183"/>
          <cell r="GO183"/>
          <cell r="GP183"/>
          <cell r="GQ183"/>
          <cell r="GR183"/>
          <cell r="GS183"/>
          <cell r="GT183"/>
          <cell r="GU183"/>
          <cell r="GV183"/>
          <cell r="GW183"/>
          <cell r="GX183"/>
          <cell r="GY183"/>
          <cell r="GZ183"/>
          <cell r="HA183"/>
          <cell r="HB183"/>
          <cell r="HC183"/>
          <cell r="HD183"/>
          <cell r="HE183"/>
          <cell r="HF183"/>
          <cell r="HG183"/>
          <cell r="HH183"/>
          <cell r="HI183"/>
          <cell r="HJ183"/>
          <cell r="HK183"/>
          <cell r="HL183"/>
          <cell r="HM183"/>
          <cell r="HN183"/>
          <cell r="HO183"/>
          <cell r="HP183"/>
          <cell r="HQ183"/>
          <cell r="HR183"/>
          <cell r="HS183"/>
          <cell r="HT183"/>
          <cell r="HU183"/>
          <cell r="HV183"/>
          <cell r="HW183"/>
          <cell r="HX183"/>
          <cell r="HY183"/>
          <cell r="HZ183"/>
          <cell r="IA183"/>
          <cell r="IB183"/>
          <cell r="IC183"/>
          <cell r="ID183"/>
          <cell r="IE183"/>
          <cell r="IF183"/>
          <cell r="IG183"/>
          <cell r="IH183"/>
          <cell r="II183"/>
          <cell r="IJ183"/>
          <cell r="IK183"/>
          <cell r="IL183"/>
          <cell r="IM183"/>
          <cell r="IN183"/>
          <cell r="IO183"/>
          <cell r="IP183"/>
          <cell r="IQ183"/>
          <cell r="IR183"/>
          <cell r="IS183"/>
          <cell r="IT183"/>
          <cell r="IU183"/>
          <cell r="IV183"/>
          <cell r="IW183"/>
          <cell r="IX183"/>
          <cell r="IY183"/>
          <cell r="IZ183"/>
          <cell r="JA183"/>
          <cell r="JB183"/>
          <cell r="JC183"/>
          <cell r="JD183"/>
          <cell r="JE183"/>
          <cell r="JF183"/>
          <cell r="JG183"/>
          <cell r="JH183"/>
          <cell r="JI183"/>
          <cell r="JJ183"/>
          <cell r="JK183"/>
          <cell r="JL183"/>
          <cell r="JM183"/>
          <cell r="JN183"/>
          <cell r="JO183"/>
          <cell r="JP183"/>
          <cell r="JQ183"/>
          <cell r="JR183"/>
          <cell r="JS183"/>
          <cell r="JT183"/>
          <cell r="JU183"/>
          <cell r="JV183"/>
          <cell r="JW183"/>
          <cell r="JX183"/>
          <cell r="JY183"/>
          <cell r="JZ183"/>
          <cell r="KA183"/>
          <cell r="KB183"/>
          <cell r="KC183"/>
          <cell r="KD183"/>
          <cell r="KE183"/>
          <cell r="KF183"/>
          <cell r="KG183"/>
          <cell r="KH183"/>
          <cell r="KI183"/>
          <cell r="KJ183"/>
          <cell r="KK183"/>
          <cell r="KL183"/>
          <cell r="KM183"/>
          <cell r="KN183"/>
          <cell r="KO183"/>
          <cell r="KP183"/>
          <cell r="KQ183"/>
          <cell r="KR183"/>
          <cell r="KS183"/>
          <cell r="KT183"/>
          <cell r="KU183"/>
          <cell r="KV183"/>
          <cell r="KW183"/>
          <cell r="KX183"/>
          <cell r="KY183"/>
          <cell r="KZ183"/>
          <cell r="LA183"/>
          <cell r="LB183"/>
          <cell r="LC183"/>
          <cell r="LD183"/>
          <cell r="LE183"/>
          <cell r="LF183"/>
          <cell r="LG183"/>
          <cell r="LH183"/>
          <cell r="LI183"/>
          <cell r="LJ183"/>
          <cell r="LK183"/>
          <cell r="LL183"/>
          <cell r="LM183"/>
          <cell r="LN183"/>
          <cell r="LO183"/>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2">
          <cell r="B12" t="str">
            <v>Total</v>
          </cell>
          <cell r="C12" t="str">
            <v>10 - 19</v>
          </cell>
          <cell r="D12" t="str">
            <v>20 - 49</v>
          </cell>
          <cell r="E12" t="str">
            <v>50 - 99</v>
          </cell>
          <cell r="F12" t="str">
            <v>100 - 249</v>
          </cell>
          <cell r="G12" t="str">
            <v>250 - 499</v>
          </cell>
          <cell r="H12" t="str">
            <v>500 et +</v>
          </cell>
        </row>
        <row r="13">
          <cell r="A13" t="str">
            <v>Oui</v>
          </cell>
          <cell r="B13">
            <v>68</v>
          </cell>
          <cell r="C13">
            <v>32.1</v>
          </cell>
          <cell r="D13">
            <v>48.6</v>
          </cell>
          <cell r="E13">
            <v>57.999999999999993</v>
          </cell>
          <cell r="F13">
            <v>71.599999999999994</v>
          </cell>
          <cell r="G13">
            <v>77.2</v>
          </cell>
          <cell r="H13">
            <v>80.400000000000006</v>
          </cell>
        </row>
        <row r="14">
          <cell r="A14" t="str">
            <v>Non</v>
          </cell>
          <cell r="B14">
            <v>32</v>
          </cell>
          <cell r="C14">
            <v>67.900000000000006</v>
          </cell>
          <cell r="D14">
            <v>51.4</v>
          </cell>
          <cell r="E14">
            <v>42</v>
          </cell>
          <cell r="F14">
            <v>28.4</v>
          </cell>
          <cell r="G14">
            <v>22.8</v>
          </cell>
          <cell r="H14">
            <v>19.600000000000001</v>
          </cell>
        </row>
        <row r="41">
          <cell r="B41" t="str">
            <v>Oui</v>
          </cell>
          <cell r="C41" t="str">
            <v>Non</v>
          </cell>
        </row>
        <row r="42">
          <cell r="A42" t="str">
            <v>Ensemble</v>
          </cell>
          <cell r="B42">
            <v>68</v>
          </cell>
          <cell r="C42">
            <v>32</v>
          </cell>
        </row>
        <row r="43">
          <cell r="A43" t="str">
            <v>DE - Industries extractives, énergie, eau, gestion des dechets et dépollution</v>
          </cell>
          <cell r="B43">
            <v>76.599999999999994</v>
          </cell>
          <cell r="C43">
            <v>23.400000000000002</v>
          </cell>
        </row>
        <row r="44">
          <cell r="A44" t="str">
            <v>C1 - Fabrication de denrées alimentaires, de boissons et  de produits a base de tabac</v>
          </cell>
          <cell r="B44">
            <v>80.900000000000006</v>
          </cell>
          <cell r="C44">
            <v>19.100000000000001</v>
          </cell>
        </row>
        <row r="45">
          <cell r="A45" t="str">
            <v>C2 - Cokéfaction et raffinage</v>
          </cell>
          <cell r="B45" t="str">
            <v>nd</v>
          </cell>
          <cell r="C45" t="str">
            <v>nd</v>
          </cell>
        </row>
        <row r="46">
          <cell r="A46" t="str">
            <v>C3 - Fabrication d'equipements electriques, electroniques, informatiques ; fabrication de machines</v>
          </cell>
          <cell r="B46">
            <v>83.8</v>
          </cell>
          <cell r="C46">
            <v>16.2</v>
          </cell>
        </row>
        <row r="47">
          <cell r="A47" t="str">
            <v>C4 - Fabrication de matériels de transport</v>
          </cell>
          <cell r="B47">
            <v>74.099999999999994</v>
          </cell>
          <cell r="C47">
            <v>25.900000000000002</v>
          </cell>
        </row>
        <row r="48">
          <cell r="A48" t="str">
            <v xml:space="preserve">C5 - Fabrication d'autres produits industriels </v>
          </cell>
          <cell r="B48">
            <v>70.899999999999991</v>
          </cell>
          <cell r="C48">
            <v>29.099999999999998</v>
          </cell>
        </row>
        <row r="49">
          <cell r="A49" t="str">
            <v>FZ - Construction</v>
          </cell>
          <cell r="B49">
            <v>76.2</v>
          </cell>
          <cell r="C49">
            <v>23.799999999999997</v>
          </cell>
        </row>
        <row r="50">
          <cell r="A50" t="str">
            <v>GZ - Commerce ; réparation d'automobiles et de motocycles</v>
          </cell>
          <cell r="B50">
            <v>73.5</v>
          </cell>
          <cell r="C50">
            <v>26.5</v>
          </cell>
        </row>
        <row r="51">
          <cell r="A51" t="str">
            <v xml:space="preserve">HZ - Transports et entreposage </v>
          </cell>
          <cell r="B51">
            <v>79.900000000000006</v>
          </cell>
          <cell r="C51">
            <v>20.100000000000001</v>
          </cell>
        </row>
        <row r="52">
          <cell r="A52" t="str">
            <v>IZ - Hébergement et restauration</v>
          </cell>
          <cell r="B52">
            <v>28.799999999999997</v>
          </cell>
          <cell r="C52">
            <v>71.2</v>
          </cell>
        </row>
        <row r="53">
          <cell r="A53" t="str">
            <v>JZ - Information et communication</v>
          </cell>
          <cell r="B53">
            <v>47.4</v>
          </cell>
          <cell r="C53">
            <v>52.6</v>
          </cell>
        </row>
        <row r="54">
          <cell r="A54" t="str">
            <v>KZ - Activités financières et d'assurance</v>
          </cell>
          <cell r="B54">
            <v>81.8</v>
          </cell>
          <cell r="C54">
            <v>18.2</v>
          </cell>
        </row>
        <row r="55">
          <cell r="A55" t="str">
            <v>LZ - Activités immobilières</v>
          </cell>
          <cell r="B55">
            <v>87.9</v>
          </cell>
          <cell r="C55">
            <v>12.1</v>
          </cell>
        </row>
        <row r="56">
          <cell r="A56" t="str">
            <v xml:space="preserve">MN - Activités scientifiques et techniques ; services administratifs et de soutien </v>
          </cell>
          <cell r="B56">
            <v>57.4</v>
          </cell>
          <cell r="C56">
            <v>42.6</v>
          </cell>
        </row>
        <row r="57">
          <cell r="A57" t="str">
            <v>OQ - Enseignement, santé humaine et action sociale</v>
          </cell>
          <cell r="B57">
            <v>80.900000000000006</v>
          </cell>
          <cell r="C57">
            <v>19.100000000000001</v>
          </cell>
        </row>
        <row r="58">
          <cell r="A58" t="str">
            <v>RU - Autres activités de services</v>
          </cell>
          <cell r="B58">
            <v>54.800000000000004</v>
          </cell>
          <cell r="C58">
            <v>45.2</v>
          </cell>
        </row>
      </sheetData>
      <sheetData sheetId="20">
        <row r="4">
          <cell r="A4" t="str">
            <v>Réduction des débouchés / commandes</v>
          </cell>
          <cell r="B4">
            <v>39.5</v>
          </cell>
        </row>
        <row r="5">
          <cell r="A5" t="str">
            <v>Fermeture obligatoire dans le cadre des restrictions de certaines activités</v>
          </cell>
          <cell r="B5">
            <v>11.899999999999999</v>
          </cell>
        </row>
        <row r="6">
          <cell r="A6" t="str">
            <v>Impossibilité à maintenir l'activité en assurant la sécurité des salariés</v>
          </cell>
          <cell r="B6">
            <v>3.3000000000000003</v>
          </cell>
        </row>
        <row r="7">
          <cell r="A7" t="str">
            <v>Salariés en situation de garde d'enfants ou considérés comme fragiles/vulnérables</v>
          </cell>
          <cell r="B7">
            <v>38.4</v>
          </cell>
        </row>
        <row r="8">
          <cell r="A8" t="str">
            <v>Autre(s)</v>
          </cell>
          <cell r="B8">
            <v>6.8000000000000007</v>
          </cell>
        </row>
      </sheetData>
      <sheetData sheetId="21"/>
      <sheetData sheetId="22">
        <row r="4">
          <cell r="A4" t="str">
            <v>Oui, avec une subvention du FNE-Formation</v>
          </cell>
          <cell r="B4">
            <v>8.4</v>
          </cell>
        </row>
        <row r="5">
          <cell r="A5" t="str">
            <v>Oui, sans subvention du FNE-Formation</v>
          </cell>
          <cell r="B5">
            <v>2.6</v>
          </cell>
        </row>
        <row r="6">
          <cell r="A6" t="str">
            <v>Oui, mais je ne sais pas si c'est dans le cadre d'une subvention du FNE-Formation</v>
          </cell>
          <cell r="B6">
            <v>5.4</v>
          </cell>
        </row>
        <row r="7">
          <cell r="A7" t="str">
            <v>Non</v>
          </cell>
          <cell r="B7">
            <v>70.599999999999994</v>
          </cell>
        </row>
        <row r="8">
          <cell r="A8" t="str">
            <v>Ne sais pas</v>
          </cell>
          <cell r="B8">
            <v>13.100000000000001</v>
          </cell>
        </row>
        <row r="35">
          <cell r="B35" t="str">
            <v>Total</v>
          </cell>
          <cell r="C35" t="str">
            <v>10 - 19</v>
          </cell>
          <cell r="D35" t="str">
            <v>20 - 49</v>
          </cell>
          <cell r="E35" t="str">
            <v>50 - 99</v>
          </cell>
          <cell r="F35" t="str">
            <v>100 - 249</v>
          </cell>
          <cell r="G35" t="str">
            <v>250 - 499</v>
          </cell>
          <cell r="H35" t="str">
            <v>500 et +</v>
          </cell>
        </row>
        <row r="36">
          <cell r="A36" t="str">
            <v>Oui, avec une subvention du FNE-Formation</v>
          </cell>
          <cell r="B36">
            <v>8.4</v>
          </cell>
          <cell r="C36">
            <v>3.4000000000000004</v>
          </cell>
          <cell r="D36">
            <v>6</v>
          </cell>
          <cell r="E36">
            <v>7.9</v>
          </cell>
          <cell r="F36">
            <v>11.1</v>
          </cell>
          <cell r="G36">
            <v>11</v>
          </cell>
          <cell r="H36">
            <v>8.6999999999999993</v>
          </cell>
        </row>
        <row r="37">
          <cell r="A37" t="str">
            <v>Oui, sans subvention du FNE-Formation</v>
          </cell>
          <cell r="B37">
            <v>2.6</v>
          </cell>
          <cell r="C37">
            <v>1.2</v>
          </cell>
          <cell r="D37">
            <v>2.1</v>
          </cell>
          <cell r="E37">
            <v>3.6999999999999997</v>
          </cell>
          <cell r="F37">
            <v>3.5000000000000004</v>
          </cell>
          <cell r="G37">
            <v>2.8000000000000003</v>
          </cell>
          <cell r="H37">
            <v>2.5</v>
          </cell>
        </row>
        <row r="38">
          <cell r="A38" t="str">
            <v>Oui, mais je ne sais pas si c'est dans le cadre d'une subvention du FNE-Formation</v>
          </cell>
          <cell r="B38">
            <v>5.4</v>
          </cell>
          <cell r="C38">
            <v>2.4</v>
          </cell>
          <cell r="D38">
            <v>3.5000000000000004</v>
          </cell>
          <cell r="E38">
            <v>2.2999999999999998</v>
          </cell>
          <cell r="F38">
            <v>3.5000000000000004</v>
          </cell>
          <cell r="G38">
            <v>3.9</v>
          </cell>
          <cell r="H38">
            <v>8.5</v>
          </cell>
        </row>
        <row r="39">
          <cell r="A39" t="str">
            <v>Non</v>
          </cell>
          <cell r="B39">
            <v>70.599999999999994</v>
          </cell>
          <cell r="C39">
            <v>89.4</v>
          </cell>
          <cell r="D39">
            <v>85</v>
          </cell>
          <cell r="E39">
            <v>80.400000000000006</v>
          </cell>
          <cell r="F39">
            <v>74.900000000000006</v>
          </cell>
          <cell r="G39">
            <v>72.7</v>
          </cell>
          <cell r="H39">
            <v>56.999999999999993</v>
          </cell>
        </row>
        <row r="40">
          <cell r="A40" t="str">
            <v>Ne sais pas</v>
          </cell>
          <cell r="B40">
            <v>13.100000000000001</v>
          </cell>
          <cell r="C40">
            <v>3.5999999999999996</v>
          </cell>
          <cell r="D40">
            <v>3.5000000000000004</v>
          </cell>
          <cell r="E40">
            <v>5.6000000000000005</v>
          </cell>
          <cell r="F40">
            <v>7.1</v>
          </cell>
          <cell r="G40">
            <v>9.5</v>
          </cell>
          <cell r="H40">
            <v>23.200000000000003</v>
          </cell>
        </row>
      </sheetData>
      <sheetData sheetId="23"/>
      <sheetData sheetId="24"/>
      <sheetData sheetId="25"/>
      <sheetData sheetId="26"/>
      <sheetData sheetId="27">
        <row r="5">
          <cell r="A5" t="str">
            <v>Aucun accord conclu sur ces sujets</v>
          </cell>
          <cell r="B5">
            <v>63.1</v>
          </cell>
        </row>
        <row r="6">
          <cell r="A6" t="str">
            <v>La prime exceptionnelle de pouvoir d'achat</v>
          </cell>
          <cell r="B6">
            <v>17.100000000000001</v>
          </cell>
        </row>
        <row r="7">
          <cell r="A7" t="str">
            <v>L'activité partielle</v>
          </cell>
          <cell r="B7">
            <v>16.2</v>
          </cell>
        </row>
        <row r="8">
          <cell r="A8" t="str">
            <v>L'aménagement des congés payés et les jours octroyés dans le cadre de la réduction du temps de travail</v>
          </cell>
          <cell r="B8">
            <v>11</v>
          </cell>
        </row>
        <row r="9">
          <cell r="A9" t="str">
            <v>Le télétravail</v>
          </cell>
          <cell r="B9">
            <v>8.9</v>
          </cell>
        </row>
        <row r="10">
          <cell r="A10" t="str">
            <v>Les heures supplémentaires</v>
          </cell>
          <cell r="B10">
            <v>1.7999999999999998</v>
          </cell>
        </row>
        <row r="11">
          <cell r="A11" t="str">
            <v>L'augmentation de la durée du travail, hebdomadaire ou quotidienne</v>
          </cell>
          <cell r="B11">
            <v>1.2</v>
          </cell>
        </row>
        <row r="12">
          <cell r="A12" t="str">
            <v>Le travail le dimanche ou les jours de repos</v>
          </cell>
          <cell r="B12">
            <v>0.5</v>
          </cell>
        </row>
        <row r="38">
          <cell r="B38" t="str">
            <v>Total</v>
          </cell>
          <cell r="C38" t="str">
            <v>10 - 19</v>
          </cell>
          <cell r="D38" t="str">
            <v>20 - 49</v>
          </cell>
          <cell r="E38" t="str">
            <v>50 - 99</v>
          </cell>
          <cell r="F38" t="str">
            <v>100 - 249</v>
          </cell>
          <cell r="G38" t="str">
            <v>250 - 499</v>
          </cell>
          <cell r="H38" t="str">
            <v>500 et +</v>
          </cell>
        </row>
        <row r="39">
          <cell r="A39" t="str">
            <v>La prime exceptionnelle de pouvoir d'achat</v>
          </cell>
          <cell r="B39">
            <v>17.100000000000001</v>
          </cell>
          <cell r="C39">
            <v>11.899999999999999</v>
          </cell>
          <cell r="D39">
            <v>15.299999999999999</v>
          </cell>
          <cell r="E39">
            <v>17.299999999999997</v>
          </cell>
          <cell r="F39">
            <v>19.2</v>
          </cell>
          <cell r="G39">
            <v>19.2</v>
          </cell>
          <cell r="H39">
            <v>18</v>
          </cell>
        </row>
        <row r="40">
          <cell r="A40" t="str">
            <v>L'aménagement des congés payés et les jours octroyés dans le cadre de la réduction du temps de travail</v>
          </cell>
          <cell r="B40">
            <v>11</v>
          </cell>
          <cell r="C40">
            <v>5.4</v>
          </cell>
          <cell r="D40">
            <v>8.5</v>
          </cell>
          <cell r="E40">
            <v>8.6</v>
          </cell>
          <cell r="F40">
            <v>13.3</v>
          </cell>
          <cell r="G40">
            <v>13</v>
          </cell>
          <cell r="H40">
            <v>12.9</v>
          </cell>
        </row>
        <row r="41">
          <cell r="A41" t="str">
            <v>L'augmentation de la durée du travail, hebdomadaire ou quotidienne</v>
          </cell>
          <cell r="B41">
            <v>1.2</v>
          </cell>
          <cell r="C41">
            <v>0.8</v>
          </cell>
          <cell r="D41">
            <v>0.8</v>
          </cell>
          <cell r="E41">
            <v>0.70000000000000007</v>
          </cell>
          <cell r="F41">
            <v>1.9</v>
          </cell>
          <cell r="G41">
            <v>1.3</v>
          </cell>
          <cell r="H41">
            <v>1.3</v>
          </cell>
        </row>
        <row r="42">
          <cell r="A42" t="str">
            <v>Les heures supplémentaires</v>
          </cell>
          <cell r="B42">
            <v>1.7999999999999998</v>
          </cell>
          <cell r="C42">
            <v>1.9</v>
          </cell>
          <cell r="D42">
            <v>2.1</v>
          </cell>
          <cell r="E42">
            <v>2</v>
          </cell>
          <cell r="F42">
            <v>2.1</v>
          </cell>
          <cell r="G42">
            <v>1.0999999999999999</v>
          </cell>
          <cell r="H42">
            <v>1.7000000000000002</v>
          </cell>
        </row>
        <row r="43">
          <cell r="A43" t="str">
            <v>Le travail le dimanche ou les jours de repos</v>
          </cell>
          <cell r="B43">
            <v>0.5</v>
          </cell>
          <cell r="C43">
            <v>0.3</v>
          </cell>
          <cell r="D43">
            <v>0.1</v>
          </cell>
          <cell r="E43">
            <v>0.4</v>
          </cell>
          <cell r="F43">
            <v>0.70000000000000007</v>
          </cell>
          <cell r="G43">
            <v>0.6</v>
          </cell>
          <cell r="H43">
            <v>0.6</v>
          </cell>
        </row>
        <row r="44">
          <cell r="A44" t="str">
            <v>L'activité partielle</v>
          </cell>
          <cell r="B44">
            <v>16.2</v>
          </cell>
          <cell r="C44">
            <v>17.399999999999999</v>
          </cell>
          <cell r="D44">
            <v>18.399999999999999</v>
          </cell>
          <cell r="E44">
            <v>17.399999999999999</v>
          </cell>
          <cell r="F44">
            <v>17.599999999999998</v>
          </cell>
          <cell r="G44">
            <v>13.8</v>
          </cell>
          <cell r="H44">
            <v>14.7</v>
          </cell>
        </row>
        <row r="45">
          <cell r="A45" t="str">
            <v>Le télétravail</v>
          </cell>
          <cell r="B45">
            <v>8.9</v>
          </cell>
          <cell r="C45">
            <v>9.5</v>
          </cell>
          <cell r="D45">
            <v>8.6999999999999993</v>
          </cell>
          <cell r="E45">
            <v>9.4</v>
          </cell>
          <cell r="F45">
            <v>8.9</v>
          </cell>
          <cell r="G45">
            <v>7.3999999999999995</v>
          </cell>
          <cell r="H45">
            <v>9.1</v>
          </cell>
        </row>
        <row r="46">
          <cell r="A46" t="str">
            <v>Aucun accord conclu sur ces sujets</v>
          </cell>
          <cell r="B46">
            <v>63.1</v>
          </cell>
          <cell r="C46">
            <v>69.199999999999989</v>
          </cell>
          <cell r="D46">
            <v>64.2</v>
          </cell>
          <cell r="E46">
            <v>63.5</v>
          </cell>
          <cell r="F46">
            <v>58.099999999999994</v>
          </cell>
          <cell r="G46">
            <v>61.8</v>
          </cell>
          <cell r="H46">
            <v>62.8</v>
          </cell>
        </row>
        <row r="77">
          <cell r="B77" t="str">
            <v>La prime exceptionnelle de pouvoir d'achat</v>
          </cell>
          <cell r="C77" t="str">
            <v>L'aménagement des congés payés et les jours octroyés dans le cadre de la réduction du temps de travail</v>
          </cell>
          <cell r="D77" t="str">
            <v>L'augmentation de la durée du travail, hebdomadaire ou quotidienne</v>
          </cell>
          <cell r="E77" t="str">
            <v>Les heures supplémentaires</v>
          </cell>
          <cell r="F77" t="str">
            <v>Le travail le dimanche ou les jours de repos</v>
          </cell>
          <cell r="G77" t="str">
            <v>L'activité partielle</v>
          </cell>
          <cell r="H77" t="str">
            <v>Le télétravail</v>
          </cell>
          <cell r="I77" t="str">
            <v>Aucun accord conclu sur ces sujets</v>
          </cell>
        </row>
        <row r="78">
          <cell r="A78" t="str">
            <v>Ensemble</v>
          </cell>
          <cell r="B78">
            <v>17.100000000000001</v>
          </cell>
          <cell r="C78">
            <v>11</v>
          </cell>
          <cell r="D78">
            <v>1.2</v>
          </cell>
          <cell r="E78">
            <v>1.7999999999999998</v>
          </cell>
          <cell r="F78">
            <v>0.5</v>
          </cell>
          <cell r="G78">
            <v>16.2</v>
          </cell>
          <cell r="H78">
            <v>8.9</v>
          </cell>
          <cell r="I78">
            <v>63.1</v>
          </cell>
        </row>
        <row r="79">
          <cell r="A79" t="str">
            <v>DE - Industries extractives, énergie, eau, gestion des dechets et dépollution</v>
          </cell>
          <cell r="B79">
            <v>35.9</v>
          </cell>
          <cell r="C79">
            <v>6</v>
          </cell>
          <cell r="D79">
            <v>0</v>
          </cell>
          <cell r="E79" t="str">
            <v>nd</v>
          </cell>
          <cell r="F79">
            <v>0</v>
          </cell>
          <cell r="G79">
            <v>6.3</v>
          </cell>
          <cell r="H79">
            <v>3.1</v>
          </cell>
          <cell r="I79">
            <v>55.400000000000006</v>
          </cell>
        </row>
        <row r="80">
          <cell r="A80" t="str">
            <v>C1 - Fabrication de denrées alimentaires, de boissons et  de produits a base de tabac</v>
          </cell>
          <cell r="B80">
            <v>45.300000000000004</v>
          </cell>
          <cell r="C80">
            <v>7.5</v>
          </cell>
          <cell r="D80">
            <v>1.9</v>
          </cell>
          <cell r="E80">
            <v>2.2999999999999998</v>
          </cell>
          <cell r="F80">
            <v>0.4</v>
          </cell>
          <cell r="G80">
            <v>13.900000000000002</v>
          </cell>
          <cell r="H80">
            <v>5.0999999999999996</v>
          </cell>
          <cell r="I80">
            <v>44.6</v>
          </cell>
        </row>
        <row r="81">
          <cell r="A81" t="str">
            <v>C2 - Cokéfaction et raffinage</v>
          </cell>
          <cell r="B81">
            <v>0</v>
          </cell>
          <cell r="C81" t="str">
            <v>nd</v>
          </cell>
          <cell r="D81">
            <v>0</v>
          </cell>
          <cell r="E81">
            <v>0</v>
          </cell>
          <cell r="F81">
            <v>0</v>
          </cell>
          <cell r="G81" t="str">
            <v>nd</v>
          </cell>
          <cell r="H81" t="str">
            <v>nd</v>
          </cell>
          <cell r="I81">
            <v>16.8</v>
          </cell>
        </row>
        <row r="82">
          <cell r="A82" t="str">
            <v>C3 - Fabrication d'equipements electriques, electroniques, informatiques ; fabrication de machines</v>
          </cell>
          <cell r="B82">
            <v>13.200000000000001</v>
          </cell>
          <cell r="C82">
            <v>19.8</v>
          </cell>
          <cell r="D82">
            <v>0.3</v>
          </cell>
          <cell r="E82">
            <v>0.6</v>
          </cell>
          <cell r="F82">
            <v>2.1999999999999997</v>
          </cell>
          <cell r="G82">
            <v>20</v>
          </cell>
          <cell r="H82">
            <v>9.5</v>
          </cell>
          <cell r="I82">
            <v>56.899999999999991</v>
          </cell>
        </row>
        <row r="83">
          <cell r="A83" t="str">
            <v>C4 - Fabrication de matériels de transport</v>
          </cell>
          <cell r="B83">
            <v>5.8999999999999995</v>
          </cell>
          <cell r="C83">
            <v>25.2</v>
          </cell>
          <cell r="D83">
            <v>0.4</v>
          </cell>
          <cell r="E83">
            <v>0.4</v>
          </cell>
          <cell r="F83">
            <v>0</v>
          </cell>
          <cell r="G83">
            <v>55.300000000000004</v>
          </cell>
          <cell r="H83">
            <v>16.2</v>
          </cell>
          <cell r="I83">
            <v>40.1</v>
          </cell>
        </row>
        <row r="84">
          <cell r="A84" t="str">
            <v xml:space="preserve">C5 - Fabrication d'autres produits industriels </v>
          </cell>
          <cell r="B84">
            <v>18.600000000000001</v>
          </cell>
          <cell r="C84">
            <v>13.600000000000001</v>
          </cell>
          <cell r="D84">
            <v>1.0999999999999999</v>
          </cell>
          <cell r="E84">
            <v>1.9</v>
          </cell>
          <cell r="F84">
            <v>0.5</v>
          </cell>
          <cell r="G84">
            <v>18.8</v>
          </cell>
          <cell r="H84">
            <v>7.1</v>
          </cell>
          <cell r="I84">
            <v>61.3</v>
          </cell>
        </row>
        <row r="85">
          <cell r="A85" t="str">
            <v>FZ - Construction</v>
          </cell>
          <cell r="B85">
            <v>6.1</v>
          </cell>
          <cell r="C85">
            <v>11.700000000000001</v>
          </cell>
          <cell r="D85">
            <v>3.9</v>
          </cell>
          <cell r="E85">
            <v>5.3</v>
          </cell>
          <cell r="F85">
            <v>0.5</v>
          </cell>
          <cell r="G85">
            <v>19.900000000000002</v>
          </cell>
          <cell r="H85">
            <v>8.2000000000000011</v>
          </cell>
          <cell r="I85">
            <v>70.099999999999994</v>
          </cell>
        </row>
        <row r="86">
          <cell r="A86" t="str">
            <v>GZ - Commerce ; réparation d'automobiles et de motocycles</v>
          </cell>
          <cell r="B86">
            <v>26.3</v>
          </cell>
          <cell r="C86">
            <v>9.8000000000000007</v>
          </cell>
          <cell r="D86">
            <v>0.8</v>
          </cell>
          <cell r="E86">
            <v>3.1</v>
          </cell>
          <cell r="F86">
            <v>0.4</v>
          </cell>
          <cell r="G86">
            <v>14.399999999999999</v>
          </cell>
          <cell r="H86">
            <v>6.6000000000000005</v>
          </cell>
          <cell r="I86">
            <v>58.599999999999994</v>
          </cell>
        </row>
        <row r="87">
          <cell r="A87" t="str">
            <v xml:space="preserve">HZ - Transports et entreposage </v>
          </cell>
          <cell r="B87">
            <v>18.2</v>
          </cell>
          <cell r="C87">
            <v>6.3</v>
          </cell>
          <cell r="D87">
            <v>0.5</v>
          </cell>
          <cell r="E87">
            <v>1.2</v>
          </cell>
          <cell r="F87">
            <v>0.6</v>
          </cell>
          <cell r="G87">
            <v>11.1</v>
          </cell>
          <cell r="H87">
            <v>4.5</v>
          </cell>
          <cell r="I87">
            <v>68.5</v>
          </cell>
        </row>
        <row r="88">
          <cell r="A88" t="str">
            <v>IZ - Hébergement et restauration</v>
          </cell>
          <cell r="B88">
            <v>2.8000000000000003</v>
          </cell>
          <cell r="C88">
            <v>6.9</v>
          </cell>
          <cell r="D88">
            <v>0.8</v>
          </cell>
          <cell r="E88">
            <v>0.8</v>
          </cell>
          <cell r="F88">
            <v>0</v>
          </cell>
          <cell r="G88">
            <v>17.100000000000001</v>
          </cell>
          <cell r="H88">
            <v>2.1999999999999997</v>
          </cell>
          <cell r="I88">
            <v>76.900000000000006</v>
          </cell>
        </row>
        <row r="89">
          <cell r="A89" t="str">
            <v>JZ - Information et communication</v>
          </cell>
          <cell r="B89">
            <v>5.8000000000000007</v>
          </cell>
          <cell r="C89">
            <v>9.3000000000000007</v>
          </cell>
          <cell r="D89" t="str">
            <v>nd</v>
          </cell>
          <cell r="E89">
            <v>0.8</v>
          </cell>
          <cell r="F89" t="str">
            <v>nd</v>
          </cell>
          <cell r="G89">
            <v>19</v>
          </cell>
          <cell r="H89">
            <v>12.6</v>
          </cell>
          <cell r="I89">
            <v>71.2</v>
          </cell>
        </row>
        <row r="90">
          <cell r="A90" t="str">
            <v>KZ - Activités financières et d'assurance</v>
          </cell>
          <cell r="B90">
            <v>17.2</v>
          </cell>
          <cell r="C90">
            <v>21.9</v>
          </cell>
          <cell r="D90">
            <v>1.0999999999999999</v>
          </cell>
          <cell r="E90" t="str">
            <v>nd</v>
          </cell>
          <cell r="F90">
            <v>0</v>
          </cell>
          <cell r="G90">
            <v>10.6</v>
          </cell>
          <cell r="H90">
            <v>13.600000000000001</v>
          </cell>
          <cell r="I90">
            <v>64.900000000000006</v>
          </cell>
        </row>
        <row r="91">
          <cell r="A91" t="str">
            <v>LZ - Activités immobilières</v>
          </cell>
          <cell r="B91">
            <v>27.400000000000002</v>
          </cell>
          <cell r="C91">
            <v>16.3</v>
          </cell>
          <cell r="D91">
            <v>0.89999999999999991</v>
          </cell>
          <cell r="E91">
            <v>0</v>
          </cell>
          <cell r="F91">
            <v>0</v>
          </cell>
          <cell r="G91">
            <v>16.3</v>
          </cell>
          <cell r="H91">
            <v>10.299999999999999</v>
          </cell>
          <cell r="I91">
            <v>53.300000000000004</v>
          </cell>
        </row>
        <row r="92">
          <cell r="A92" t="str">
            <v xml:space="preserve">MN - Activités scientifiques et techniques ; services administratifs et de soutien </v>
          </cell>
          <cell r="B92">
            <v>11.200000000000001</v>
          </cell>
          <cell r="C92">
            <v>12.3</v>
          </cell>
          <cell r="D92">
            <v>0.8</v>
          </cell>
          <cell r="E92">
            <v>0.70000000000000007</v>
          </cell>
          <cell r="F92">
            <v>0.6</v>
          </cell>
          <cell r="G92">
            <v>18.099999999999998</v>
          </cell>
          <cell r="H92">
            <v>12.5</v>
          </cell>
          <cell r="I92">
            <v>63.5</v>
          </cell>
        </row>
        <row r="93">
          <cell r="A93" t="str">
            <v>OQ - Enseignement, santé humaine et action sociale</v>
          </cell>
          <cell r="B93">
            <v>20.100000000000001</v>
          </cell>
          <cell r="C93">
            <v>7.1999999999999993</v>
          </cell>
          <cell r="D93">
            <v>2</v>
          </cell>
          <cell r="E93">
            <v>2.4</v>
          </cell>
          <cell r="F93">
            <v>0.6</v>
          </cell>
          <cell r="G93">
            <v>11.3</v>
          </cell>
          <cell r="H93">
            <v>10.4</v>
          </cell>
          <cell r="I93">
            <v>63.7</v>
          </cell>
        </row>
        <row r="94">
          <cell r="A94" t="str">
            <v>RU - Autres activités de services</v>
          </cell>
          <cell r="B94">
            <v>6.4</v>
          </cell>
          <cell r="C94">
            <v>9</v>
          </cell>
          <cell r="D94">
            <v>1.0999999999999999</v>
          </cell>
          <cell r="E94">
            <v>1.9</v>
          </cell>
          <cell r="F94" t="str">
            <v>nd</v>
          </cell>
          <cell r="G94">
            <v>18.3</v>
          </cell>
          <cell r="H94">
            <v>9.3000000000000007</v>
          </cell>
          <cell r="I94">
            <v>71</v>
          </cell>
        </row>
      </sheetData>
      <sheetData sheetId="28">
        <row r="5">
          <cell r="A5" t="str">
            <v>Aucune de ces dispositions mise en oeuvre</v>
          </cell>
          <cell r="B5">
            <v>63.1</v>
          </cell>
        </row>
        <row r="6">
          <cell r="A6" t="str">
            <v>Prise de jours de repos à des dates imposées par l'employeur</v>
          </cell>
          <cell r="B6">
            <v>34.5</v>
          </cell>
        </row>
        <row r="7">
          <cell r="A7" t="str">
            <v>Utilisation de jours de compte épargne temps imposée par l'employeur</v>
          </cell>
          <cell r="B7">
            <v>6.1</v>
          </cell>
        </row>
        <row r="8">
          <cell r="A8" t="str">
            <v>Dérogation aux durées légales de travail maximales</v>
          </cell>
          <cell r="B8">
            <v>2.7</v>
          </cell>
        </row>
        <row r="9">
          <cell r="A9" t="str">
            <v>Dérogation au repos dominical</v>
          </cell>
          <cell r="B9">
            <v>1.5</v>
          </cell>
        </row>
        <row r="36">
          <cell r="B36" t="str">
            <v>Total</v>
          </cell>
          <cell r="C36" t="str">
            <v>10 - 19</v>
          </cell>
          <cell r="D36" t="str">
            <v>20 - 49</v>
          </cell>
          <cell r="E36" t="str">
            <v>50 - 99</v>
          </cell>
          <cell r="F36" t="str">
            <v>100 - 249</v>
          </cell>
          <cell r="G36" t="str">
            <v>250 - 499</v>
          </cell>
          <cell r="H36" t="str">
            <v>500 et +</v>
          </cell>
        </row>
        <row r="37">
          <cell r="A37" t="str">
            <v>Prise de jours de repos à des dates imposées par l'employeur</v>
          </cell>
          <cell r="B37">
            <v>34.5</v>
          </cell>
          <cell r="C37">
            <v>19.900000000000002</v>
          </cell>
          <cell r="D37">
            <v>27.700000000000003</v>
          </cell>
          <cell r="E37">
            <v>28.7</v>
          </cell>
          <cell r="F37">
            <v>33.800000000000004</v>
          </cell>
          <cell r="G37">
            <v>32.800000000000004</v>
          </cell>
          <cell r="H37">
            <v>43.7</v>
          </cell>
        </row>
        <row r="38">
          <cell r="A38" t="str">
            <v>Utilisation de jours de compte épargne temps imposée par l'employeur</v>
          </cell>
          <cell r="B38">
            <v>6.1</v>
          </cell>
          <cell r="C38">
            <v>1.5</v>
          </cell>
          <cell r="D38">
            <v>2.5</v>
          </cell>
          <cell r="E38">
            <v>2.9000000000000004</v>
          </cell>
          <cell r="F38">
            <v>4.5999999999999996</v>
          </cell>
          <cell r="G38">
            <v>6</v>
          </cell>
          <cell r="H38">
            <v>10.100000000000001</v>
          </cell>
        </row>
        <row r="39">
          <cell r="A39" t="str">
            <v>Dérogation aux durées légales de travail maximales</v>
          </cell>
          <cell r="B39">
            <v>2.7</v>
          </cell>
          <cell r="C39">
            <v>1.3</v>
          </cell>
          <cell r="D39">
            <v>2.6</v>
          </cell>
          <cell r="E39">
            <v>3.3000000000000003</v>
          </cell>
          <cell r="F39">
            <v>3.6999999999999997</v>
          </cell>
          <cell r="G39">
            <v>3.4000000000000004</v>
          </cell>
          <cell r="H39">
            <v>2.5</v>
          </cell>
        </row>
        <row r="40">
          <cell r="A40" t="str">
            <v>Dérogation au repos dominical</v>
          </cell>
          <cell r="B40">
            <v>1.5</v>
          </cell>
          <cell r="C40">
            <v>0.8</v>
          </cell>
          <cell r="D40">
            <v>1.9</v>
          </cell>
          <cell r="E40">
            <v>2.1999999999999997</v>
          </cell>
          <cell r="F40">
            <v>1.4000000000000001</v>
          </cell>
          <cell r="G40">
            <v>1.3</v>
          </cell>
          <cell r="H40">
            <v>1.5</v>
          </cell>
        </row>
        <row r="41">
          <cell r="A41" t="str">
            <v>Aucune de ces dispositions mise en oeuvre</v>
          </cell>
          <cell r="B41">
            <v>63.1</v>
          </cell>
          <cell r="C41">
            <v>79</v>
          </cell>
          <cell r="D41">
            <v>71</v>
          </cell>
          <cell r="E41">
            <v>69.599999999999994</v>
          </cell>
          <cell r="F41">
            <v>63.1</v>
          </cell>
          <cell r="G41">
            <v>64.3</v>
          </cell>
          <cell r="H41">
            <v>53.5</v>
          </cell>
        </row>
        <row r="70">
          <cell r="B70" t="str">
            <v>Prise de jours de repos à des dates imposées par l'employeur</v>
          </cell>
          <cell r="C70" t="str">
            <v>Utilisation de jours de compte épargne temps imposée par l'employeur</v>
          </cell>
          <cell r="D70" t="str">
            <v>Dérogation aux durées légales de travail maximales</v>
          </cell>
          <cell r="E70" t="str">
            <v>Dérogation au repos dominical</v>
          </cell>
          <cell r="F70" t="str">
            <v>Aucune de ces dispositions mise en oeuvre</v>
          </cell>
        </row>
        <row r="71">
          <cell r="A71" t="str">
            <v>Ensemble</v>
          </cell>
          <cell r="B71">
            <v>34.5</v>
          </cell>
          <cell r="C71">
            <v>6.1</v>
          </cell>
          <cell r="D71">
            <v>2.7</v>
          </cell>
          <cell r="E71">
            <v>1.5</v>
          </cell>
          <cell r="F71">
            <v>63.1</v>
          </cell>
        </row>
        <row r="72">
          <cell r="A72" t="str">
            <v>DE - Industries extractives, énergie, eau, gestion des dechets et dépollution</v>
          </cell>
          <cell r="B72">
            <v>23.799999999999997</v>
          </cell>
          <cell r="C72">
            <v>4.7</v>
          </cell>
          <cell r="D72">
            <v>0.89999999999999991</v>
          </cell>
          <cell r="E72">
            <v>0</v>
          </cell>
          <cell r="F72">
            <v>74.2</v>
          </cell>
        </row>
        <row r="73">
          <cell r="A73" t="str">
            <v>C1 - Fabrication de denrées alimentaires, de boissons et  de produits a base de tabac</v>
          </cell>
          <cell r="B73">
            <v>29.9</v>
          </cell>
          <cell r="C73">
            <v>5.2</v>
          </cell>
          <cell r="D73">
            <v>2.7</v>
          </cell>
          <cell r="E73">
            <v>0.8</v>
          </cell>
          <cell r="F73">
            <v>68.100000000000009</v>
          </cell>
        </row>
        <row r="74">
          <cell r="A74" t="str">
            <v>C2 - Cokéfaction et raffinage</v>
          </cell>
          <cell r="B74">
            <v>72.2</v>
          </cell>
          <cell r="C74" t="str">
            <v>nd</v>
          </cell>
          <cell r="D74" t="str">
            <v>nd</v>
          </cell>
          <cell r="E74" t="str">
            <v>nd</v>
          </cell>
          <cell r="F74">
            <v>17.599999999999998</v>
          </cell>
        </row>
        <row r="75">
          <cell r="A75" t="str">
            <v>C3 - Fabrication d'equipements electriques, electroniques, informatiques ; fabrication de machines</v>
          </cell>
          <cell r="B75">
            <v>46.7</v>
          </cell>
          <cell r="C75">
            <v>10.7</v>
          </cell>
          <cell r="D75">
            <v>2.1</v>
          </cell>
          <cell r="E75">
            <v>0.3</v>
          </cell>
          <cell r="F75">
            <v>47.8</v>
          </cell>
        </row>
        <row r="76">
          <cell r="A76" t="str">
            <v>C4 - Fabrication de matériels de transport</v>
          </cell>
          <cell r="B76">
            <v>69.3</v>
          </cell>
          <cell r="C76">
            <v>28.9</v>
          </cell>
          <cell r="D76">
            <v>0.89999999999999991</v>
          </cell>
          <cell r="E76">
            <v>0.4</v>
          </cell>
          <cell r="F76">
            <v>16.900000000000002</v>
          </cell>
        </row>
        <row r="77">
          <cell r="A77" t="str">
            <v xml:space="preserve">C5 - Fabrication d'autres produits industriels </v>
          </cell>
          <cell r="B77">
            <v>42.8</v>
          </cell>
          <cell r="C77">
            <v>8.3000000000000007</v>
          </cell>
          <cell r="D77">
            <v>2.1999999999999997</v>
          </cell>
          <cell r="E77">
            <v>1.7000000000000002</v>
          </cell>
          <cell r="F77">
            <v>54.1</v>
          </cell>
        </row>
        <row r="78">
          <cell r="A78" t="str">
            <v>FZ - Construction</v>
          </cell>
          <cell r="B78">
            <v>42.4</v>
          </cell>
          <cell r="C78">
            <v>6.4</v>
          </cell>
          <cell r="D78">
            <v>2.6</v>
          </cell>
          <cell r="E78">
            <v>0.70000000000000007</v>
          </cell>
          <cell r="F78">
            <v>56.399999999999991</v>
          </cell>
        </row>
        <row r="79">
          <cell r="A79" t="str">
            <v>GZ - Commerce ; réparation d'automobiles et de motocycles</v>
          </cell>
          <cell r="B79">
            <v>27.400000000000002</v>
          </cell>
          <cell r="C79">
            <v>5.4</v>
          </cell>
          <cell r="D79">
            <v>2.1999999999999997</v>
          </cell>
          <cell r="E79">
            <v>1.6</v>
          </cell>
          <cell r="F79">
            <v>72.2</v>
          </cell>
        </row>
        <row r="80">
          <cell r="A80" t="str">
            <v xml:space="preserve">HZ - Transports et entreposage </v>
          </cell>
          <cell r="B80">
            <v>49.8</v>
          </cell>
          <cell r="C80">
            <v>8</v>
          </cell>
          <cell r="D80">
            <v>3</v>
          </cell>
          <cell r="E80">
            <v>2.2999999999999998</v>
          </cell>
          <cell r="F80">
            <v>49.1</v>
          </cell>
        </row>
        <row r="81">
          <cell r="A81" t="str">
            <v>IZ - Hébergement et restauration</v>
          </cell>
          <cell r="B81">
            <v>17.100000000000001</v>
          </cell>
          <cell r="C81">
            <v>1.3</v>
          </cell>
          <cell r="D81" t="str">
            <v>nd</v>
          </cell>
          <cell r="E81" t="str">
            <v>nd</v>
          </cell>
          <cell r="F81">
            <v>81.899999999999991</v>
          </cell>
        </row>
        <row r="82">
          <cell r="A82" t="str">
            <v>JZ - Information et communication</v>
          </cell>
          <cell r="B82">
            <v>48.6</v>
          </cell>
          <cell r="C82">
            <v>5.0999999999999996</v>
          </cell>
          <cell r="D82">
            <v>1</v>
          </cell>
          <cell r="E82">
            <v>1.0999999999999999</v>
          </cell>
          <cell r="F82">
            <v>49.9</v>
          </cell>
        </row>
        <row r="83">
          <cell r="A83" t="str">
            <v>KZ - Activités financières et d'assurance</v>
          </cell>
          <cell r="B83">
            <v>51</v>
          </cell>
          <cell r="C83">
            <v>6.4</v>
          </cell>
          <cell r="D83">
            <v>0.8</v>
          </cell>
          <cell r="E83">
            <v>0.6</v>
          </cell>
          <cell r="F83">
            <v>48.1</v>
          </cell>
        </row>
        <row r="84">
          <cell r="A84" t="str">
            <v>LZ - Activités immobilières</v>
          </cell>
          <cell r="B84">
            <v>36.199999999999996</v>
          </cell>
          <cell r="C84">
            <v>4</v>
          </cell>
          <cell r="D84">
            <v>1.5</v>
          </cell>
          <cell r="E84" t="str">
            <v>nd</v>
          </cell>
          <cell r="F84">
            <v>59.099999999999994</v>
          </cell>
        </row>
        <row r="85">
          <cell r="A85" t="str">
            <v xml:space="preserve">MN - Activités scientifiques et techniques ; services administratifs et de soutien </v>
          </cell>
          <cell r="B85">
            <v>32.700000000000003</v>
          </cell>
          <cell r="C85">
            <v>4.3999999999999995</v>
          </cell>
          <cell r="D85">
            <v>2.1999999999999997</v>
          </cell>
          <cell r="E85">
            <v>1.6</v>
          </cell>
          <cell r="F85">
            <v>66.5</v>
          </cell>
        </row>
        <row r="86">
          <cell r="A86" t="str">
            <v>OQ - Enseignement, santé humaine et action sociale</v>
          </cell>
          <cell r="B86">
            <v>20.8</v>
          </cell>
          <cell r="C86">
            <v>4.3999999999999995</v>
          </cell>
          <cell r="D86">
            <v>7.0000000000000009</v>
          </cell>
          <cell r="E86">
            <v>3.1</v>
          </cell>
          <cell r="F86">
            <v>73.8</v>
          </cell>
        </row>
        <row r="87">
          <cell r="A87" t="str">
            <v>RU - Autres activités de services</v>
          </cell>
          <cell r="B87">
            <v>23.1</v>
          </cell>
          <cell r="C87">
            <v>3.2</v>
          </cell>
          <cell r="D87">
            <v>1.6</v>
          </cell>
          <cell r="E87">
            <v>0.70000000000000007</v>
          </cell>
          <cell r="F87">
            <v>75.099999999999994</v>
          </cell>
        </row>
      </sheetData>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Q18_Tab 47"/>
      <sheetName val="Q18_Tab 48"/>
      <sheetName val="Q18_Tab 49"/>
      <sheetName val="Q19_Tab 50"/>
      <sheetName val="Q19_Tab 51"/>
      <sheetName val="Q19_Tab 52"/>
      <sheetName val="Q20_Tab 53"/>
      <sheetName val="Q20_Tab 54"/>
      <sheetName val="Q20_Tab 55"/>
      <sheetName val="Q21_Tab 56"/>
      <sheetName val="Q21_Tab 57"/>
      <sheetName val="Q21_Tab 58"/>
      <sheetName val="Q22_Tab 59"/>
      <sheetName val="Q22_Tab 60"/>
      <sheetName val="Q22_Tab 61"/>
      <sheetName val="Q23_Tab 62"/>
      <sheetName val="Q23_Tab 63"/>
      <sheetName val="Q23_Tab 64"/>
    </sheetNames>
    <sheetDataSet>
      <sheetData sheetId="0"/>
      <sheetData sheetId="1"/>
      <sheetData sheetId="2"/>
      <sheetData sheetId="3"/>
      <sheetData sheetId="4"/>
      <sheetData sheetId="5"/>
      <sheetData sheetId="6"/>
      <sheetData sheetId="7"/>
      <sheetData sheetId="8"/>
      <sheetData sheetId="9">
        <row r="4">
          <cell r="B4" t="str">
            <v>Oui</v>
          </cell>
          <cell r="C4" t="str">
            <v>Non</v>
          </cell>
          <cell r="D4" t="str">
            <v>Non concerné</v>
          </cell>
          <cell r="E4" t="str">
            <v>nd</v>
          </cell>
        </row>
        <row r="5">
          <cell r="A5" t="str">
            <v>Ensemble</v>
          </cell>
          <cell r="B5">
            <v>25.5</v>
          </cell>
          <cell r="C5">
            <v>25.3</v>
          </cell>
          <cell r="D5">
            <v>49.3</v>
          </cell>
        </row>
        <row r="6">
          <cell r="A6" t="str">
            <v>DE - Industries extractives, énergie, eau, gestion des dechets et dépollution</v>
          </cell>
          <cell r="B6">
            <v>6.2</v>
          </cell>
          <cell r="C6">
            <v>10.4</v>
          </cell>
          <cell r="D6">
            <v>83.399999999999991</v>
          </cell>
        </row>
        <row r="7">
          <cell r="A7" t="str">
            <v>C1 - Fabrication de denrées alimentaires, de boissons et  de produits a base de tabac</v>
          </cell>
          <cell r="B7">
            <v>16.5</v>
          </cell>
          <cell r="C7">
            <v>47.3</v>
          </cell>
          <cell r="D7">
            <v>36.199999999999996</v>
          </cell>
        </row>
        <row r="8">
          <cell r="A8" t="str">
            <v>C2 - Cokéfaction et raffinage</v>
          </cell>
          <cell r="B8" t="str">
            <v>nd</v>
          </cell>
          <cell r="C8">
            <v>72.8</v>
          </cell>
          <cell r="D8" t="str">
            <v>nd</v>
          </cell>
          <cell r="E8">
            <v>27.200000000000003</v>
          </cell>
        </row>
        <row r="9">
          <cell r="A9" t="str">
            <v>C3 - Fabrication d'equipements electriques, electroniques, informatiques ; fabrication de machines</v>
          </cell>
          <cell r="B9">
            <v>20.5</v>
          </cell>
          <cell r="C9">
            <v>35.799999999999997</v>
          </cell>
          <cell r="D9">
            <v>43.7</v>
          </cell>
        </row>
        <row r="10">
          <cell r="A10" t="str">
            <v>C4 - Fabrication de matériels de transport</v>
          </cell>
          <cell r="B10">
            <v>18.2</v>
          </cell>
          <cell r="C10">
            <v>34.599999999999994</v>
          </cell>
          <cell r="D10">
            <v>47.099999999999994</v>
          </cell>
        </row>
        <row r="11">
          <cell r="A11" t="str">
            <v xml:space="preserve">C5 - Fabrication d'autres produits industriels </v>
          </cell>
          <cell r="B11">
            <v>19.8</v>
          </cell>
          <cell r="C11">
            <v>39.5</v>
          </cell>
          <cell r="D11">
            <v>40.6</v>
          </cell>
        </row>
        <row r="12">
          <cell r="A12" t="str">
            <v>FZ - Construction</v>
          </cell>
          <cell r="B12">
            <v>10.100000000000001</v>
          </cell>
          <cell r="C12">
            <v>26.900000000000002</v>
          </cell>
          <cell r="D12">
            <v>63</v>
          </cell>
        </row>
        <row r="13">
          <cell r="A13" t="str">
            <v>GZ - Commerce ; réparation d'automobiles et de motocycles</v>
          </cell>
          <cell r="B13">
            <v>45.5</v>
          </cell>
          <cell r="C13">
            <v>32.4</v>
          </cell>
          <cell r="D13">
            <v>22.1</v>
          </cell>
        </row>
        <row r="14">
          <cell r="A14" t="str">
            <v xml:space="preserve">HZ - Transports et entreposage </v>
          </cell>
          <cell r="B14">
            <v>18.7</v>
          </cell>
          <cell r="C14">
            <v>27.800000000000004</v>
          </cell>
          <cell r="D14">
            <v>53.5</v>
          </cell>
        </row>
        <row r="15">
          <cell r="A15" t="str">
            <v>IZ - Hébergement et restauration</v>
          </cell>
          <cell r="B15">
            <v>33.1</v>
          </cell>
          <cell r="C15">
            <v>19.600000000000001</v>
          </cell>
          <cell r="D15">
            <v>47.3</v>
          </cell>
        </row>
        <row r="16">
          <cell r="A16" t="str">
            <v>JZ - Information et communication</v>
          </cell>
          <cell r="B16">
            <v>40</v>
          </cell>
          <cell r="C16">
            <v>19.5</v>
          </cell>
          <cell r="D16">
            <v>40.5</v>
          </cell>
        </row>
        <row r="17">
          <cell r="A17" t="str">
            <v>KZ - Activités financières et d'assurance</v>
          </cell>
          <cell r="B17">
            <v>47.3</v>
          </cell>
          <cell r="C17">
            <v>24</v>
          </cell>
          <cell r="D17">
            <v>28.7</v>
          </cell>
        </row>
        <row r="18">
          <cell r="A18" t="str">
            <v>LZ - Activités immobilières</v>
          </cell>
          <cell r="B18">
            <v>19.2</v>
          </cell>
          <cell r="C18">
            <v>27.900000000000002</v>
          </cell>
          <cell r="D18">
            <v>52.900000000000006</v>
          </cell>
        </row>
        <row r="19">
          <cell r="A19" t="str">
            <v xml:space="preserve">MN - Activités scientifiques et techniques ; services administratifs et de soutien </v>
          </cell>
          <cell r="B19">
            <v>24</v>
          </cell>
          <cell r="C19">
            <v>20</v>
          </cell>
          <cell r="D19">
            <v>56.000000000000007</v>
          </cell>
        </row>
        <row r="20">
          <cell r="A20" t="str">
            <v>OQ - Enseignement, santé humaine et action sociale</v>
          </cell>
          <cell r="B20">
            <v>12.3</v>
          </cell>
          <cell r="C20">
            <v>14.000000000000002</v>
          </cell>
          <cell r="D20">
            <v>73.7</v>
          </cell>
        </row>
        <row r="21">
          <cell r="A21" t="str">
            <v>RU - Autres activités de services</v>
          </cell>
          <cell r="B21">
            <v>22.2</v>
          </cell>
          <cell r="C21">
            <v>11.200000000000001</v>
          </cell>
          <cell r="D21">
            <v>66.600000000000009</v>
          </cell>
        </row>
      </sheetData>
      <sheetData sheetId="10">
        <row r="4">
          <cell r="A4" t="str">
            <v>Développement de la vente en ligne</v>
          </cell>
          <cell r="B4">
            <v>39.5</v>
          </cell>
        </row>
        <row r="5">
          <cell r="A5" t="str">
            <v>Développement de la vente directe</v>
          </cell>
          <cell r="B5">
            <v>6.9</v>
          </cell>
        </row>
        <row r="6">
          <cell r="A6" t="str">
            <v>Nouveau système de livraison</v>
          </cell>
          <cell r="B6">
            <v>13.700000000000001</v>
          </cell>
        </row>
        <row r="7">
          <cell r="A7" t="str">
            <v>Collaboration à une plateforme collaborative locale de vente</v>
          </cell>
          <cell r="B7">
            <v>0.89999999999999991</v>
          </cell>
        </row>
        <row r="8">
          <cell r="A8" t="str">
            <v>Autre(s)</v>
          </cell>
          <cell r="B8">
            <v>59.199999999999996</v>
          </cell>
        </row>
      </sheetData>
      <sheetData sheetId="11">
        <row r="4">
          <cell r="B4" t="str">
            <v>Ensemble</v>
          </cell>
          <cell r="C4" t="str">
            <v>10 - 19</v>
          </cell>
          <cell r="D4" t="str">
            <v>20 - 49</v>
          </cell>
          <cell r="E4" t="str">
            <v>50 - 99</v>
          </cell>
          <cell r="F4" t="str">
            <v>100 - 249</v>
          </cell>
          <cell r="G4" t="str">
            <v>250 - 499</v>
          </cell>
          <cell r="H4" t="str">
            <v>500 et +</v>
          </cell>
        </row>
        <row r="5">
          <cell r="A5" t="str">
            <v>Développement de la vente en ligne</v>
          </cell>
          <cell r="B5">
            <v>39.5</v>
          </cell>
          <cell r="C5">
            <v>23.5</v>
          </cell>
          <cell r="D5">
            <v>30.9</v>
          </cell>
          <cell r="E5">
            <v>35.299999999999997</v>
          </cell>
          <cell r="F5">
            <v>36</v>
          </cell>
          <cell r="G5">
            <v>37</v>
          </cell>
          <cell r="H5">
            <v>45.800000000000004</v>
          </cell>
        </row>
        <row r="6">
          <cell r="A6" t="str">
            <v>Développement de la vente directe</v>
          </cell>
          <cell r="B6">
            <v>6.9</v>
          </cell>
          <cell r="C6">
            <v>12.4</v>
          </cell>
          <cell r="D6">
            <v>9.9</v>
          </cell>
          <cell r="E6">
            <v>4.3</v>
          </cell>
          <cell r="F6">
            <v>7.6</v>
          </cell>
          <cell r="G6">
            <v>5.5</v>
          </cell>
          <cell r="H6">
            <v>5.5</v>
          </cell>
        </row>
        <row r="7">
          <cell r="A7" t="str">
            <v>Nouveau système de livraison</v>
          </cell>
          <cell r="B7">
            <v>13.700000000000001</v>
          </cell>
          <cell r="C7">
            <v>17.599999999999998</v>
          </cell>
          <cell r="D7">
            <v>11.600000000000001</v>
          </cell>
          <cell r="E7">
            <v>20.8</v>
          </cell>
          <cell r="F7">
            <v>11.600000000000001</v>
          </cell>
          <cell r="G7">
            <v>12.5</v>
          </cell>
          <cell r="H7">
            <v>12.7</v>
          </cell>
        </row>
        <row r="8">
          <cell r="A8" t="str">
            <v>Collaboration à une plateforme collaborative locale de vente</v>
          </cell>
          <cell r="B8">
            <v>0.89999999999999991</v>
          </cell>
          <cell r="C8">
            <v>1.2</v>
          </cell>
          <cell r="D8">
            <v>1.0999999999999999</v>
          </cell>
          <cell r="E8">
            <v>1.9</v>
          </cell>
          <cell r="F8">
            <v>1.2</v>
          </cell>
          <cell r="G8" t="str">
            <v>nd</v>
          </cell>
          <cell r="H8">
            <v>0.6</v>
          </cell>
        </row>
        <row r="9">
          <cell r="A9" t="str">
            <v>Autre(s)</v>
          </cell>
          <cell r="B9">
            <v>59.199999999999996</v>
          </cell>
          <cell r="C9">
            <v>59.199999999999996</v>
          </cell>
          <cell r="D9">
            <v>60.8</v>
          </cell>
          <cell r="E9">
            <v>53.6</v>
          </cell>
          <cell r="F9">
            <v>57.599999999999994</v>
          </cell>
          <cell r="G9">
            <v>59.5</v>
          </cell>
          <cell r="H9">
            <v>60.099999999999994</v>
          </cell>
        </row>
      </sheetData>
      <sheetData sheetId="12">
        <row r="4">
          <cell r="B4" t="str">
            <v>Développement de la vente en ligne</v>
          </cell>
          <cell r="C4" t="str">
            <v>Développement de la vente directe</v>
          </cell>
          <cell r="D4" t="str">
            <v>Nouveau système de livraison</v>
          </cell>
          <cell r="E4" t="str">
            <v>Collaboration à une plateforme collaborative locale de vente</v>
          </cell>
          <cell r="F4" t="str">
            <v>Autre(s)</v>
          </cell>
        </row>
        <row r="5">
          <cell r="A5" t="str">
            <v>Ensemble</v>
          </cell>
          <cell r="B5">
            <v>39.5</v>
          </cell>
          <cell r="C5">
            <v>6.9</v>
          </cell>
          <cell r="D5">
            <v>13.700000000000001</v>
          </cell>
          <cell r="E5">
            <v>0.89999999999999991</v>
          </cell>
          <cell r="F5">
            <v>59.199999999999996</v>
          </cell>
        </row>
        <row r="6">
          <cell r="A6" t="str">
            <v>DE - Industries extractives, énergie, eau, gestion des dechets et dépollution</v>
          </cell>
          <cell r="B6">
            <v>9.5</v>
          </cell>
          <cell r="C6" t="str">
            <v>nd</v>
          </cell>
          <cell r="D6">
            <v>11.899999999999999</v>
          </cell>
          <cell r="E6" t="str">
            <v>nd</v>
          </cell>
          <cell r="F6">
            <v>78.600000000000009</v>
          </cell>
        </row>
        <row r="7">
          <cell r="A7" t="str">
            <v>C1 - Fabrication de denrées alimentaires, de boissons et  de produits a base de tabac</v>
          </cell>
          <cell r="B7">
            <v>29.799999999999997</v>
          </cell>
          <cell r="C7">
            <v>14.6</v>
          </cell>
          <cell r="D7">
            <v>27.800000000000004</v>
          </cell>
          <cell r="E7">
            <v>3.3000000000000003</v>
          </cell>
          <cell r="F7">
            <v>39.1</v>
          </cell>
        </row>
        <row r="8">
          <cell r="A8" t="str">
            <v>C2 - Cokéfaction et raffinage</v>
          </cell>
          <cell r="B8">
            <v>0</v>
          </cell>
          <cell r="C8">
            <v>0</v>
          </cell>
          <cell r="D8" t="str">
            <v>nd</v>
          </cell>
          <cell r="E8">
            <v>0</v>
          </cell>
          <cell r="F8">
            <v>0</v>
          </cell>
        </row>
        <row r="9">
          <cell r="A9" t="str">
            <v>C3 - Fabrication d'equipements electriques, electroniques, informatiques ; fabrication de machines</v>
          </cell>
          <cell r="B9">
            <v>27.900000000000002</v>
          </cell>
          <cell r="C9" t="str">
            <v>nd</v>
          </cell>
          <cell r="D9">
            <v>15.299999999999999</v>
          </cell>
          <cell r="E9" t="str">
            <v>nd</v>
          </cell>
          <cell r="F9">
            <v>54.2</v>
          </cell>
        </row>
        <row r="10">
          <cell r="A10" t="str">
            <v>C4 - Fabrication de matériels de transport</v>
          </cell>
          <cell r="B10">
            <v>48.3</v>
          </cell>
          <cell r="C10" t="str">
            <v>nd</v>
          </cell>
          <cell r="D10" t="str">
            <v>nd</v>
          </cell>
          <cell r="E10">
            <v>0</v>
          </cell>
          <cell r="F10">
            <v>67.800000000000011</v>
          </cell>
        </row>
        <row r="11">
          <cell r="A11" t="str">
            <v xml:space="preserve">C5 - Fabrication d'autres produits industriels </v>
          </cell>
          <cell r="B11">
            <v>30.9</v>
          </cell>
          <cell r="C11">
            <v>6.9</v>
          </cell>
          <cell r="D11">
            <v>12</v>
          </cell>
          <cell r="E11">
            <v>1.7000000000000002</v>
          </cell>
          <cell r="F11">
            <v>65.100000000000009</v>
          </cell>
        </row>
        <row r="12">
          <cell r="A12" t="str">
            <v>FZ - Construction</v>
          </cell>
          <cell r="B12">
            <v>16.7</v>
          </cell>
          <cell r="C12">
            <v>0</v>
          </cell>
          <cell r="D12">
            <v>4.8</v>
          </cell>
          <cell r="E12" t="str">
            <v>nd</v>
          </cell>
          <cell r="F12">
            <v>81</v>
          </cell>
        </row>
        <row r="13">
          <cell r="A13" t="str">
            <v>GZ - Commerce ; réparation d'automobiles et de motocycles</v>
          </cell>
          <cell r="B13">
            <v>64.3</v>
          </cell>
          <cell r="C13">
            <v>6.2</v>
          </cell>
          <cell r="D13">
            <v>22.400000000000002</v>
          </cell>
          <cell r="E13">
            <v>0.2</v>
          </cell>
          <cell r="F13">
            <v>43.2</v>
          </cell>
        </row>
        <row r="14">
          <cell r="A14" t="str">
            <v xml:space="preserve">HZ - Transports et entreposage </v>
          </cell>
          <cell r="B14">
            <v>27.3</v>
          </cell>
          <cell r="C14">
            <v>4.8</v>
          </cell>
          <cell r="D14">
            <v>12.7</v>
          </cell>
          <cell r="E14" t="str">
            <v>nd</v>
          </cell>
          <cell r="F14">
            <v>70.899999999999991</v>
          </cell>
        </row>
        <row r="15">
          <cell r="A15" t="str">
            <v>IZ - Hébergement et restauration</v>
          </cell>
          <cell r="B15">
            <v>34.4</v>
          </cell>
          <cell r="C15">
            <v>25.1</v>
          </cell>
          <cell r="D15">
            <v>22.2</v>
          </cell>
          <cell r="E15">
            <v>3.2</v>
          </cell>
          <cell r="F15">
            <v>35.099999999999994</v>
          </cell>
        </row>
        <row r="16">
          <cell r="A16" t="str">
            <v>JZ - Information et communication</v>
          </cell>
          <cell r="B16">
            <v>15.299999999999999</v>
          </cell>
          <cell r="C16">
            <v>1.9</v>
          </cell>
          <cell r="D16">
            <v>5.8000000000000007</v>
          </cell>
          <cell r="E16" t="str">
            <v>nd</v>
          </cell>
          <cell r="F16">
            <v>82.399999999999991</v>
          </cell>
        </row>
        <row r="17">
          <cell r="A17" t="str">
            <v>KZ - Activités financières et d'assurance</v>
          </cell>
          <cell r="B17">
            <v>59.099999999999994</v>
          </cell>
          <cell r="C17">
            <v>7.8</v>
          </cell>
          <cell r="D17">
            <v>1.0999999999999999</v>
          </cell>
          <cell r="E17" t="str">
            <v>nd</v>
          </cell>
          <cell r="F17">
            <v>50.6</v>
          </cell>
        </row>
        <row r="18">
          <cell r="A18" t="str">
            <v>LZ - Activités immobilières</v>
          </cell>
          <cell r="B18">
            <v>35.299999999999997</v>
          </cell>
          <cell r="C18" t="str">
            <v>nd</v>
          </cell>
          <cell r="D18">
            <v>19.2</v>
          </cell>
          <cell r="E18" t="str">
            <v>nd</v>
          </cell>
          <cell r="F18">
            <v>68.300000000000011</v>
          </cell>
        </row>
        <row r="19">
          <cell r="A19" t="str">
            <v xml:space="preserve">MN - Activités scientifiques et techniques ; services administratifs et de soutien </v>
          </cell>
          <cell r="B19">
            <v>15.1</v>
          </cell>
          <cell r="C19">
            <v>4</v>
          </cell>
          <cell r="D19">
            <v>4.9000000000000004</v>
          </cell>
          <cell r="E19">
            <v>0.4</v>
          </cell>
          <cell r="F19">
            <v>79.100000000000009</v>
          </cell>
        </row>
        <row r="20">
          <cell r="A20" t="str">
            <v>OQ - Enseignement, santé humaine et action sociale</v>
          </cell>
          <cell r="B20">
            <v>16.100000000000001</v>
          </cell>
          <cell r="C20">
            <v>4.5</v>
          </cell>
          <cell r="D20">
            <v>11.600000000000001</v>
          </cell>
          <cell r="E20">
            <v>0.89999999999999991</v>
          </cell>
          <cell r="F20">
            <v>74.099999999999994</v>
          </cell>
        </row>
        <row r="21">
          <cell r="A21" t="str">
            <v>RU - Autres activités de services</v>
          </cell>
          <cell r="B21">
            <v>25.7</v>
          </cell>
          <cell r="C21">
            <v>2.7</v>
          </cell>
          <cell r="D21">
            <v>4.3</v>
          </cell>
          <cell r="E21" t="str">
            <v>nd</v>
          </cell>
          <cell r="F21">
            <v>73.8</v>
          </cell>
        </row>
      </sheetData>
      <sheetData sheetId="13">
        <row r="4">
          <cell r="A4" t="str">
            <v>L'activité n'a pas été affectée ou est déjà revenue à la normale</v>
          </cell>
          <cell r="B4">
            <v>17.8</v>
          </cell>
        </row>
        <row r="5">
          <cell r="A5" t="str">
            <v>L'activité reviendra très vite à la normale, d’ici un mois</v>
          </cell>
          <cell r="B5">
            <v>7.8</v>
          </cell>
        </row>
        <row r="6">
          <cell r="A6" t="str">
            <v>L'activité reviendra à la normale d’ici deux ou trois mois</v>
          </cell>
          <cell r="B6">
            <v>18.5</v>
          </cell>
        </row>
        <row r="7">
          <cell r="A7" t="str">
            <v>L'activité mettra plus de trois mois à revenir à la normale</v>
          </cell>
          <cell r="B7">
            <v>14.2</v>
          </cell>
        </row>
        <row r="8">
          <cell r="A8" t="str">
            <v>L'activité a été affectée de manière plus durable et ne reviendra pas à la situation antérieure avant la fin de l'année</v>
          </cell>
          <cell r="B8">
            <v>20.3</v>
          </cell>
        </row>
        <row r="9">
          <cell r="A9" t="str">
            <v>Ne sais pas</v>
          </cell>
          <cell r="B9">
            <v>21.4</v>
          </cell>
        </row>
      </sheetData>
      <sheetData sheetId="14">
        <row r="4">
          <cell r="B4" t="str">
            <v>Ensemble</v>
          </cell>
          <cell r="C4" t="str">
            <v>10 - 19</v>
          </cell>
          <cell r="D4" t="str">
            <v>20 - 49</v>
          </cell>
          <cell r="E4" t="str">
            <v>50 - 99</v>
          </cell>
          <cell r="F4" t="str">
            <v>100 - 249</v>
          </cell>
          <cell r="G4" t="str">
            <v>250 - 499</v>
          </cell>
          <cell r="H4" t="str">
            <v>500 et +</v>
          </cell>
        </row>
        <row r="5">
          <cell r="A5" t="str">
            <v>L'activité n'a pas été affectée ou est déjà revenue à la normale</v>
          </cell>
          <cell r="B5">
            <v>17.8</v>
          </cell>
          <cell r="C5">
            <v>20.8</v>
          </cell>
          <cell r="D5">
            <v>19.100000000000001</v>
          </cell>
          <cell r="E5">
            <v>21.5</v>
          </cell>
          <cell r="F5">
            <v>20.5</v>
          </cell>
          <cell r="G5">
            <v>18.5</v>
          </cell>
          <cell r="H5">
            <v>14.299999999999999</v>
          </cell>
        </row>
        <row r="6">
          <cell r="A6" t="str">
            <v>L'activité reviendra très vite à la normale, d’ici un mois</v>
          </cell>
          <cell r="B6">
            <v>7.8</v>
          </cell>
          <cell r="C6">
            <v>7.5</v>
          </cell>
          <cell r="D6">
            <v>8.3000000000000007</v>
          </cell>
          <cell r="E6">
            <v>9</v>
          </cell>
          <cell r="F6">
            <v>9.4</v>
          </cell>
          <cell r="G6">
            <v>8.6</v>
          </cell>
          <cell r="H6">
            <v>6.6000000000000005</v>
          </cell>
        </row>
        <row r="7">
          <cell r="A7" t="str">
            <v>L'activité reviendra à la normale d’ici deux ou trois mois</v>
          </cell>
          <cell r="B7">
            <v>18.5</v>
          </cell>
          <cell r="C7">
            <v>15.7</v>
          </cell>
          <cell r="D7">
            <v>18.099999999999998</v>
          </cell>
          <cell r="E7">
            <v>19</v>
          </cell>
          <cell r="F7">
            <v>17.5</v>
          </cell>
          <cell r="G7">
            <v>18.3</v>
          </cell>
          <cell r="H7">
            <v>19.8</v>
          </cell>
        </row>
        <row r="8">
          <cell r="A8" t="str">
            <v>L'activité mettra plus de trois mois à revenir à la normale</v>
          </cell>
          <cell r="B8">
            <v>14.2</v>
          </cell>
          <cell r="C8">
            <v>13</v>
          </cell>
          <cell r="D8">
            <v>13.5</v>
          </cell>
          <cell r="E8">
            <v>12.6</v>
          </cell>
          <cell r="F8">
            <v>12.5</v>
          </cell>
          <cell r="G8">
            <v>12</v>
          </cell>
          <cell r="H8">
            <v>16.400000000000002</v>
          </cell>
        </row>
        <row r="9">
          <cell r="A9" t="str">
            <v>L'activité a été affectée de manière plus durable et ne reviendra pas à la situation antérieure avant la fin de l'année</v>
          </cell>
          <cell r="B9">
            <v>20.3</v>
          </cell>
          <cell r="C9">
            <v>18.5</v>
          </cell>
          <cell r="D9">
            <v>18.099999999999998</v>
          </cell>
          <cell r="E9">
            <v>17.2</v>
          </cell>
          <cell r="F9">
            <v>18.5</v>
          </cell>
          <cell r="G9">
            <v>16.7</v>
          </cell>
          <cell r="H9">
            <v>24</v>
          </cell>
        </row>
        <row r="10">
          <cell r="A10" t="str">
            <v>Ne sais pas</v>
          </cell>
          <cell r="B10">
            <v>21.4</v>
          </cell>
          <cell r="C10">
            <v>24.6</v>
          </cell>
          <cell r="D10">
            <v>22.900000000000002</v>
          </cell>
          <cell r="E10">
            <v>20.7</v>
          </cell>
          <cell r="F10">
            <v>21.6</v>
          </cell>
          <cell r="G10">
            <v>25.900000000000002</v>
          </cell>
          <cell r="H10">
            <v>18.899999999999999</v>
          </cell>
        </row>
      </sheetData>
      <sheetData sheetId="15">
        <row r="4">
          <cell r="B4" t="str">
            <v>L'activité n'a pas été affectée ou est déjà revenue à la normale</v>
          </cell>
          <cell r="C4" t="str">
            <v>L'activité reviendra très vite à la normale, d’ici un mois</v>
          </cell>
          <cell r="D4" t="str">
            <v>L'activité reviendra à la normale d’ici deux ou trois mois</v>
          </cell>
          <cell r="E4" t="str">
            <v>L'activité mettra plus de trois mois à revenir à la normale</v>
          </cell>
          <cell r="F4" t="str">
            <v>L'activité a été affectée de manière plus durable et ne reviendra pas à la situation antérieure avant la fin de l'année</v>
          </cell>
          <cell r="G4" t="str">
            <v>Ne sais pas</v>
          </cell>
          <cell r="H4" t="str">
            <v>nd</v>
          </cell>
        </row>
        <row r="5">
          <cell r="A5" t="str">
            <v>Ensemble</v>
          </cell>
          <cell r="B5">
            <v>17.8</v>
          </cell>
          <cell r="C5">
            <v>7.8</v>
          </cell>
          <cell r="D5">
            <v>18.5</v>
          </cell>
          <cell r="E5">
            <v>14.2</v>
          </cell>
          <cell r="F5">
            <v>20.3</v>
          </cell>
          <cell r="G5">
            <v>21.4</v>
          </cell>
        </row>
        <row r="6">
          <cell r="A6" t="str">
            <v>DE - Industries extractives, énergie, eau, gestion des dechets et dépollution</v>
          </cell>
          <cell r="B6">
            <v>11.200000000000001</v>
          </cell>
          <cell r="C6">
            <v>8.9</v>
          </cell>
          <cell r="D6">
            <v>45.300000000000004</v>
          </cell>
          <cell r="E6">
            <v>10.8</v>
          </cell>
          <cell r="F6">
            <v>15.9</v>
          </cell>
          <cell r="G6">
            <v>7.8</v>
          </cell>
        </row>
        <row r="7">
          <cell r="A7" t="str">
            <v>C1 - Fabrication de denrées alimentaires, de boissons et  de produits a base de tabac</v>
          </cell>
          <cell r="B7">
            <v>32.4</v>
          </cell>
          <cell r="C7">
            <v>5.8999999999999995</v>
          </cell>
          <cell r="D7">
            <v>21.5</v>
          </cell>
          <cell r="E7">
            <v>9.6</v>
          </cell>
          <cell r="F7">
            <v>13.4</v>
          </cell>
          <cell r="G7">
            <v>17.2</v>
          </cell>
        </row>
        <row r="8">
          <cell r="A8" t="str">
            <v>C2 - Cokéfaction et raffinage</v>
          </cell>
          <cell r="B8">
            <v>4.5999999999999996</v>
          </cell>
          <cell r="C8">
            <v>0</v>
          </cell>
          <cell r="D8" t="str">
            <v>nd</v>
          </cell>
          <cell r="E8" t="str">
            <v>nd</v>
          </cell>
          <cell r="F8" t="str">
            <v>nd</v>
          </cell>
          <cell r="G8" t="str">
            <v>nd</v>
          </cell>
          <cell r="H8">
            <v>95.4</v>
          </cell>
        </row>
        <row r="9">
          <cell r="A9" t="str">
            <v>C3 - Fabrication d'equipements electriques, electroniques, informatiques ; fabrication de machines</v>
          </cell>
          <cell r="B9">
            <v>13.100000000000001</v>
          </cell>
          <cell r="C9">
            <v>5.2</v>
          </cell>
          <cell r="D9">
            <v>9.1999999999999993</v>
          </cell>
          <cell r="E9">
            <v>22.8</v>
          </cell>
          <cell r="F9">
            <v>29.2</v>
          </cell>
          <cell r="G9">
            <v>20.399999999999999</v>
          </cell>
        </row>
        <row r="10">
          <cell r="A10" t="str">
            <v>C4 - Fabrication de matériels de transport</v>
          </cell>
          <cell r="B10">
            <v>3.1</v>
          </cell>
          <cell r="C10">
            <v>2.2999999999999998</v>
          </cell>
          <cell r="D10">
            <v>14.7</v>
          </cell>
          <cell r="E10">
            <v>19.7</v>
          </cell>
          <cell r="F10">
            <v>42.9</v>
          </cell>
          <cell r="G10">
            <v>17.399999999999999</v>
          </cell>
        </row>
        <row r="11">
          <cell r="A11" t="str">
            <v xml:space="preserve">C5 - Fabrication d'autres produits industriels </v>
          </cell>
          <cell r="B11">
            <v>18.600000000000001</v>
          </cell>
          <cell r="C11">
            <v>5.6000000000000005</v>
          </cell>
          <cell r="D11">
            <v>10.7</v>
          </cell>
          <cell r="E11">
            <v>15.2</v>
          </cell>
          <cell r="F11">
            <v>26.6</v>
          </cell>
          <cell r="G11">
            <v>23.3</v>
          </cell>
        </row>
        <row r="12">
          <cell r="A12" t="str">
            <v>FZ - Construction</v>
          </cell>
          <cell r="B12">
            <v>19.8</v>
          </cell>
          <cell r="C12">
            <v>15.4</v>
          </cell>
          <cell r="D12">
            <v>16.7</v>
          </cell>
          <cell r="E12">
            <v>11.799999999999999</v>
          </cell>
          <cell r="F12">
            <v>16.2</v>
          </cell>
          <cell r="G12">
            <v>20.200000000000003</v>
          </cell>
        </row>
        <row r="13">
          <cell r="A13" t="str">
            <v>GZ - Commerce ; réparation d'automobiles et de motocycles</v>
          </cell>
          <cell r="B13">
            <v>25.900000000000002</v>
          </cell>
          <cell r="C13">
            <v>5.8000000000000007</v>
          </cell>
          <cell r="D13">
            <v>12.8</v>
          </cell>
          <cell r="E13">
            <v>12.8</v>
          </cell>
          <cell r="F13">
            <v>19.2</v>
          </cell>
          <cell r="G13">
            <v>23.599999999999998</v>
          </cell>
        </row>
        <row r="14">
          <cell r="A14" t="str">
            <v xml:space="preserve">HZ - Transports et entreposage </v>
          </cell>
          <cell r="B14">
            <v>14.2</v>
          </cell>
          <cell r="C14">
            <v>5.4</v>
          </cell>
          <cell r="D14">
            <v>18.5</v>
          </cell>
          <cell r="E14">
            <v>8.6999999999999993</v>
          </cell>
          <cell r="F14">
            <v>33.700000000000003</v>
          </cell>
          <cell r="G14">
            <v>19.5</v>
          </cell>
        </row>
        <row r="15">
          <cell r="A15" t="str">
            <v>IZ - Hébergement et restauration</v>
          </cell>
          <cell r="B15">
            <v>2</v>
          </cell>
          <cell r="C15">
            <v>3</v>
          </cell>
          <cell r="D15">
            <v>18.7</v>
          </cell>
          <cell r="E15">
            <v>11.3</v>
          </cell>
          <cell r="F15">
            <v>33.800000000000004</v>
          </cell>
          <cell r="G15">
            <v>31.3</v>
          </cell>
        </row>
        <row r="16">
          <cell r="A16" t="str">
            <v>JZ - Information et communication</v>
          </cell>
          <cell r="B16">
            <v>11.200000000000001</v>
          </cell>
          <cell r="C16">
            <v>4.3999999999999995</v>
          </cell>
          <cell r="D16">
            <v>11.799999999999999</v>
          </cell>
          <cell r="E16">
            <v>26.5</v>
          </cell>
          <cell r="F16">
            <v>27.3</v>
          </cell>
          <cell r="G16">
            <v>18.8</v>
          </cell>
        </row>
        <row r="17">
          <cell r="A17" t="str">
            <v>KZ - Activités financières et d'assurance</v>
          </cell>
          <cell r="B17">
            <v>14.899999999999999</v>
          </cell>
          <cell r="C17">
            <v>7.1</v>
          </cell>
          <cell r="D17">
            <v>19.100000000000001</v>
          </cell>
          <cell r="E17">
            <v>17.100000000000001</v>
          </cell>
          <cell r="F17">
            <v>13.8</v>
          </cell>
          <cell r="G17">
            <v>28.000000000000004</v>
          </cell>
        </row>
        <row r="18">
          <cell r="A18" t="str">
            <v>LZ - Activités immobilières</v>
          </cell>
          <cell r="B18">
            <v>25.6</v>
          </cell>
          <cell r="C18">
            <v>11.4</v>
          </cell>
          <cell r="D18">
            <v>21.5</v>
          </cell>
          <cell r="E18">
            <v>16.600000000000001</v>
          </cell>
          <cell r="F18">
            <v>8.2000000000000011</v>
          </cell>
          <cell r="G18">
            <v>16.8</v>
          </cell>
        </row>
        <row r="19">
          <cell r="A19" t="str">
            <v xml:space="preserve">MN - Activités scientifiques et techniques ; services administratifs et de soutien </v>
          </cell>
          <cell r="B19">
            <v>14.499999999999998</v>
          </cell>
          <cell r="C19">
            <v>8.6999999999999993</v>
          </cell>
          <cell r="D19">
            <v>17.399999999999999</v>
          </cell>
          <cell r="E19">
            <v>18.099999999999998</v>
          </cell>
          <cell r="F19">
            <v>20.5</v>
          </cell>
          <cell r="G19">
            <v>20.8</v>
          </cell>
        </row>
        <row r="20">
          <cell r="A20" t="str">
            <v>OQ - Enseignement, santé humaine et action sociale</v>
          </cell>
          <cell r="B20">
            <v>22.2</v>
          </cell>
          <cell r="C20">
            <v>11.4</v>
          </cell>
          <cell r="D20">
            <v>29.5</v>
          </cell>
          <cell r="E20">
            <v>9.5</v>
          </cell>
          <cell r="F20">
            <v>7.1999999999999993</v>
          </cell>
          <cell r="G20">
            <v>20.100000000000001</v>
          </cell>
        </row>
        <row r="21">
          <cell r="A21" t="str">
            <v>RU - Autres activités de services</v>
          </cell>
          <cell r="B21">
            <v>14.799999999999999</v>
          </cell>
          <cell r="C21">
            <v>11.899999999999999</v>
          </cell>
          <cell r="D21">
            <v>20.9</v>
          </cell>
          <cell r="E21">
            <v>15.6</v>
          </cell>
          <cell r="F21">
            <v>17</v>
          </cell>
          <cell r="G21">
            <v>19.8</v>
          </cell>
        </row>
      </sheetData>
      <sheetData sheetId="16">
        <row r="4">
          <cell r="A4" t="str">
            <v>Aucune difficulté</v>
          </cell>
          <cell r="B4">
            <v>17.299999999999997</v>
          </cell>
        </row>
        <row r="5">
          <cell r="A5" t="str">
            <v>Manque de débouchés pour les activités</v>
          </cell>
          <cell r="B5">
            <v>36.199999999999996</v>
          </cell>
        </row>
        <row r="6">
          <cell r="A6" t="str">
            <v>Difficultés d'approvisionnement en masques, gels, et autres équipements de protection individuelle</v>
          </cell>
          <cell r="B6">
            <v>10.299999999999999</v>
          </cell>
        </row>
        <row r="7">
          <cell r="A7" t="str">
            <v>Difficultés à organiser l'activité de manière à respecter la distanciation sociale</v>
          </cell>
          <cell r="B7">
            <v>29.9</v>
          </cell>
        </row>
        <row r="8">
          <cell r="A8" t="str">
            <v>Réticences ou refus des collaborateurs</v>
          </cell>
          <cell r="B8">
            <v>9.3000000000000007</v>
          </cell>
        </row>
        <row r="9">
          <cell r="A9" t="str">
            <v>Réticences ou refus des instances représentatives</v>
          </cell>
          <cell r="B9">
            <v>4.7</v>
          </cell>
        </row>
        <row r="10">
          <cell r="A10" t="str">
            <v>Difficultés d'approvisionnement en matériaux ou équipements nécessaires à l'activité</v>
          </cell>
          <cell r="B10">
            <v>10.199999999999999</v>
          </cell>
        </row>
        <row r="11">
          <cell r="A11" t="str">
            <v>Disponibilité limitée de certains salariés (par exemple pour garde d'enfants)</v>
          </cell>
          <cell r="B11">
            <v>21.3</v>
          </cell>
        </row>
        <row r="12">
          <cell r="A12" t="str">
            <v>Autre(s) difficulté(s)</v>
          </cell>
          <cell r="B12">
            <v>18.899999999999999</v>
          </cell>
        </row>
      </sheetData>
      <sheetData sheetId="17">
        <row r="4">
          <cell r="B4" t="str">
            <v>Ensemble</v>
          </cell>
          <cell r="C4" t="str">
            <v>10 - 19</v>
          </cell>
          <cell r="D4" t="str">
            <v>20 - 49</v>
          </cell>
          <cell r="E4" t="str">
            <v>50 - 99</v>
          </cell>
          <cell r="F4" t="str">
            <v>100 - 249</v>
          </cell>
          <cell r="G4" t="str">
            <v>250 - 499</v>
          </cell>
          <cell r="H4" t="str">
            <v>500 et +</v>
          </cell>
        </row>
        <row r="5">
          <cell r="A5" t="str">
            <v>Aucune difficulté</v>
          </cell>
          <cell r="B5">
            <v>17.299999999999997</v>
          </cell>
          <cell r="C5">
            <v>25.6</v>
          </cell>
          <cell r="D5">
            <v>22.2</v>
          </cell>
          <cell r="E5">
            <v>20.8</v>
          </cell>
          <cell r="F5">
            <v>19.7</v>
          </cell>
          <cell r="G5">
            <v>16.5</v>
          </cell>
          <cell r="H5">
            <v>11.4</v>
          </cell>
        </row>
        <row r="6">
          <cell r="A6" t="str">
            <v>Manque de débouchés pour les activités</v>
          </cell>
          <cell r="B6">
            <v>36.199999999999996</v>
          </cell>
          <cell r="C6">
            <v>36.1</v>
          </cell>
          <cell r="D6">
            <v>36.799999999999997</v>
          </cell>
          <cell r="E6">
            <v>35.9</v>
          </cell>
          <cell r="F6">
            <v>36</v>
          </cell>
          <cell r="G6">
            <v>32.1</v>
          </cell>
          <cell r="H6">
            <v>37.200000000000003</v>
          </cell>
        </row>
        <row r="7">
          <cell r="A7" t="str">
            <v>Difficultés d'approvisionnement en masques, gels, et autres équipements de protection individuelle</v>
          </cell>
          <cell r="B7">
            <v>10.299999999999999</v>
          </cell>
          <cell r="C7">
            <v>5.8999999999999995</v>
          </cell>
          <cell r="D7">
            <v>8.6</v>
          </cell>
          <cell r="E7">
            <v>10.299999999999999</v>
          </cell>
          <cell r="F7">
            <v>9.6</v>
          </cell>
          <cell r="G7">
            <v>9.5</v>
          </cell>
          <cell r="H7">
            <v>12.8</v>
          </cell>
        </row>
        <row r="8">
          <cell r="A8" t="str">
            <v>Difficultés à organiser l'activité de manière à respecter la distanciation sociale</v>
          </cell>
          <cell r="B8">
            <v>29.9</v>
          </cell>
          <cell r="C8">
            <v>24.7</v>
          </cell>
          <cell r="D8">
            <v>25.2</v>
          </cell>
          <cell r="E8">
            <v>26.400000000000002</v>
          </cell>
          <cell r="F8">
            <v>25.4</v>
          </cell>
          <cell r="G8">
            <v>29.299999999999997</v>
          </cell>
          <cell r="H8">
            <v>35.9</v>
          </cell>
        </row>
        <row r="9">
          <cell r="A9" t="str">
            <v>Réticences ou refus des collaborateurs</v>
          </cell>
          <cell r="B9">
            <v>9.3000000000000007</v>
          </cell>
          <cell r="C9">
            <v>9.3000000000000007</v>
          </cell>
          <cell r="D9">
            <v>5.7</v>
          </cell>
          <cell r="E9">
            <v>7.5</v>
          </cell>
          <cell r="F9">
            <v>10.100000000000001</v>
          </cell>
          <cell r="G9">
            <v>10.299999999999999</v>
          </cell>
          <cell r="H9">
            <v>11.899999999999999</v>
          </cell>
        </row>
        <row r="10">
          <cell r="A10" t="str">
            <v>Réticences ou refus des instances représentatives</v>
          </cell>
          <cell r="B10">
            <v>4.7</v>
          </cell>
          <cell r="C10">
            <v>4.7</v>
          </cell>
          <cell r="D10">
            <v>0.8</v>
          </cell>
          <cell r="E10">
            <v>2</v>
          </cell>
          <cell r="F10">
            <v>3.1</v>
          </cell>
          <cell r="G10">
            <v>2.6</v>
          </cell>
          <cell r="H10">
            <v>9.1999999999999993</v>
          </cell>
        </row>
        <row r="11">
          <cell r="A11" t="str">
            <v>Difficultés d'approvisionnement en matériaux ou équipements nécessaires à l'activité</v>
          </cell>
          <cell r="B11">
            <v>10.199999999999999</v>
          </cell>
          <cell r="C11">
            <v>10.199999999999999</v>
          </cell>
          <cell r="D11">
            <v>8.5</v>
          </cell>
          <cell r="E11">
            <v>9.3000000000000007</v>
          </cell>
          <cell r="F11">
            <v>9.3000000000000007</v>
          </cell>
          <cell r="G11">
            <v>8.6999999999999993</v>
          </cell>
          <cell r="H11">
            <v>11.4</v>
          </cell>
        </row>
        <row r="12">
          <cell r="A12" t="str">
            <v>Disponibilité limitée de certains salariés (par exemple pour garde d'enfants)</v>
          </cell>
          <cell r="B12">
            <v>21.3</v>
          </cell>
          <cell r="C12">
            <v>21.3</v>
          </cell>
          <cell r="D12">
            <v>12.6</v>
          </cell>
          <cell r="E12">
            <v>15.9</v>
          </cell>
          <cell r="F12">
            <v>18.5</v>
          </cell>
          <cell r="G12">
            <v>23.799999999999997</v>
          </cell>
          <cell r="H12">
            <v>30.5</v>
          </cell>
        </row>
        <row r="13">
          <cell r="A13" t="str">
            <v>Autre(s) difficulté(s)</v>
          </cell>
          <cell r="B13">
            <v>18.899999999999999</v>
          </cell>
          <cell r="C13">
            <v>18.899999999999999</v>
          </cell>
          <cell r="D13">
            <v>20.5</v>
          </cell>
          <cell r="E13">
            <v>19.900000000000002</v>
          </cell>
          <cell r="F13">
            <v>20.100000000000001</v>
          </cell>
          <cell r="G13">
            <v>22.1</v>
          </cell>
          <cell r="H13">
            <v>16.7</v>
          </cell>
        </row>
      </sheetData>
      <sheetData sheetId="18">
        <row r="4">
          <cell r="B4" t="str">
            <v>Aucune difficulté</v>
          </cell>
          <cell r="C4" t="str">
            <v>Manque de débouchés pour les activités</v>
          </cell>
          <cell r="D4" t="str">
            <v>Difficultés d'approvisionnement en masques, gels, et autres équipements de protection individuelle</v>
          </cell>
          <cell r="E4" t="str">
            <v>Difficultés à organiser l'activité de manière à respecter la distanciation sociale</v>
          </cell>
          <cell r="F4" t="str">
            <v>Réticences ou refus des collaborateurs</v>
          </cell>
          <cell r="G4" t="str">
            <v>Réticences ou refus des instances représentatives</v>
          </cell>
          <cell r="H4" t="str">
            <v>Difficultés d'approvisionnement en matériaux ou équipements nécessaires à l'activité</v>
          </cell>
          <cell r="I4" t="str">
            <v>Disponibilité limitée de certains salariés (par exemple pour garde d'enfants)</v>
          </cell>
          <cell r="J4" t="str">
            <v>Autre(s) difficulté(s)</v>
          </cell>
        </row>
        <row r="5">
          <cell r="A5" t="str">
            <v>Ensemble</v>
          </cell>
          <cell r="B5">
            <v>17.299999999999997</v>
          </cell>
          <cell r="C5">
            <v>36.199999999999996</v>
          </cell>
          <cell r="D5">
            <v>10.299999999999999</v>
          </cell>
          <cell r="E5">
            <v>29.9</v>
          </cell>
          <cell r="F5">
            <v>9.3000000000000007</v>
          </cell>
          <cell r="G5">
            <v>4.7</v>
          </cell>
          <cell r="H5">
            <v>10.199999999999999</v>
          </cell>
          <cell r="I5">
            <v>21.3</v>
          </cell>
          <cell r="J5">
            <v>18.899999999999999</v>
          </cell>
        </row>
        <row r="6">
          <cell r="A6" t="str">
            <v>DE - Industries extractives, énergie, eau, gestion des dechets et dépollution</v>
          </cell>
          <cell r="B6">
            <v>24.7</v>
          </cell>
          <cell r="C6">
            <v>47.199999999999996</v>
          </cell>
          <cell r="D6">
            <v>7.3</v>
          </cell>
          <cell r="E6">
            <v>40.300000000000004</v>
          </cell>
          <cell r="F6">
            <v>2.6</v>
          </cell>
          <cell r="G6">
            <v>6</v>
          </cell>
          <cell r="H6">
            <v>2.5</v>
          </cell>
          <cell r="I6">
            <v>12.5</v>
          </cell>
          <cell r="J6">
            <v>13.900000000000002</v>
          </cell>
        </row>
        <row r="7">
          <cell r="A7" t="str">
            <v>C1 - Fabrication de denrées alimentaires, de boissons et  de produits a base de tabac</v>
          </cell>
          <cell r="B7">
            <v>28.9</v>
          </cell>
          <cell r="C7">
            <v>33.700000000000003</v>
          </cell>
          <cell r="D7">
            <v>7.7</v>
          </cell>
          <cell r="E7">
            <v>19.600000000000001</v>
          </cell>
          <cell r="F7">
            <v>5.3</v>
          </cell>
          <cell r="G7">
            <v>2.2999999999999998</v>
          </cell>
          <cell r="H7">
            <v>7.3999999999999995</v>
          </cell>
          <cell r="I7">
            <v>14.7</v>
          </cell>
          <cell r="J7">
            <v>15.2</v>
          </cell>
        </row>
        <row r="8">
          <cell r="A8" t="str">
            <v>C2 - Cokéfaction et raffinage</v>
          </cell>
          <cell r="B8" t="str">
            <v>nd</v>
          </cell>
          <cell r="C8" t="str">
            <v>nd</v>
          </cell>
          <cell r="D8" t="str">
            <v>nd</v>
          </cell>
          <cell r="E8" t="str">
            <v>nd</v>
          </cell>
          <cell r="F8" t="str">
            <v>nd</v>
          </cell>
          <cell r="G8" t="str">
            <v>nd</v>
          </cell>
          <cell r="H8" t="str">
            <v>nd</v>
          </cell>
          <cell r="I8" t="str">
            <v>nd</v>
          </cell>
          <cell r="J8">
            <v>0</v>
          </cell>
        </row>
        <row r="9">
          <cell r="A9" t="str">
            <v>C3 - Fabrication d'equipements electriques, electroniques, informatiques ; fabrication de machines</v>
          </cell>
          <cell r="B9">
            <v>15.2</v>
          </cell>
          <cell r="C9">
            <v>53.800000000000004</v>
          </cell>
          <cell r="D9">
            <v>2.9000000000000004</v>
          </cell>
          <cell r="E9">
            <v>18.3</v>
          </cell>
          <cell r="F9">
            <v>5.8000000000000007</v>
          </cell>
          <cell r="G9">
            <v>5.7</v>
          </cell>
          <cell r="H9">
            <v>24.8</v>
          </cell>
          <cell r="I9">
            <v>14.2</v>
          </cell>
          <cell r="J9">
            <v>14.799999999999999</v>
          </cell>
        </row>
        <row r="10">
          <cell r="A10" t="str">
            <v>C4 - Fabrication de matériels de transport</v>
          </cell>
          <cell r="B10">
            <v>4.2</v>
          </cell>
          <cell r="C10">
            <v>48.199999999999996</v>
          </cell>
          <cell r="D10">
            <v>1.4000000000000001</v>
          </cell>
          <cell r="E10">
            <v>46</v>
          </cell>
          <cell r="F10">
            <v>8.4</v>
          </cell>
          <cell r="G10">
            <v>24</v>
          </cell>
          <cell r="H10">
            <v>30.9</v>
          </cell>
          <cell r="I10">
            <v>30.7</v>
          </cell>
          <cell r="J10">
            <v>10.100000000000001</v>
          </cell>
        </row>
        <row r="11">
          <cell r="A11" t="str">
            <v xml:space="preserve">C5 - Fabrication d'autres produits industriels </v>
          </cell>
          <cell r="B11">
            <v>16.5</v>
          </cell>
          <cell r="C11">
            <v>51.9</v>
          </cell>
          <cell r="D11">
            <v>5.2</v>
          </cell>
          <cell r="E11">
            <v>19.5</v>
          </cell>
          <cell r="F11">
            <v>5.3</v>
          </cell>
          <cell r="G11">
            <v>2.1999999999999997</v>
          </cell>
          <cell r="H11">
            <v>15.5</v>
          </cell>
          <cell r="I11">
            <v>15.6</v>
          </cell>
          <cell r="J11">
            <v>13.600000000000001</v>
          </cell>
        </row>
        <row r="12">
          <cell r="A12" t="str">
            <v>FZ - Construction</v>
          </cell>
          <cell r="B12">
            <v>21.099999999999998</v>
          </cell>
          <cell r="C12">
            <v>31.5</v>
          </cell>
          <cell r="D12">
            <v>7.6</v>
          </cell>
          <cell r="E12">
            <v>30.099999999999998</v>
          </cell>
          <cell r="F12">
            <v>4</v>
          </cell>
          <cell r="G12">
            <v>0.89999999999999991</v>
          </cell>
          <cell r="H12">
            <v>17</v>
          </cell>
          <cell r="I12">
            <v>14.2</v>
          </cell>
          <cell r="J12">
            <v>19.600000000000001</v>
          </cell>
        </row>
        <row r="13">
          <cell r="A13" t="str">
            <v>GZ - Commerce ; réparation d'automobiles et de motocycles</v>
          </cell>
          <cell r="B13">
            <v>21.8</v>
          </cell>
          <cell r="C13">
            <v>28.9</v>
          </cell>
          <cell r="D13">
            <v>14.399999999999999</v>
          </cell>
          <cell r="E13">
            <v>23.5</v>
          </cell>
          <cell r="F13">
            <v>5</v>
          </cell>
          <cell r="G13">
            <v>2.2999999999999998</v>
          </cell>
          <cell r="H13">
            <v>21.2</v>
          </cell>
          <cell r="I13">
            <v>29.5</v>
          </cell>
          <cell r="J13">
            <v>16.600000000000001</v>
          </cell>
        </row>
        <row r="14">
          <cell r="A14" t="str">
            <v xml:space="preserve">HZ - Transports et entreposage </v>
          </cell>
          <cell r="B14">
            <v>14.899999999999999</v>
          </cell>
          <cell r="C14">
            <v>49.7</v>
          </cell>
          <cell r="D14">
            <v>13.700000000000001</v>
          </cell>
          <cell r="E14">
            <v>26.6</v>
          </cell>
          <cell r="F14">
            <v>4.2</v>
          </cell>
          <cell r="G14">
            <v>1.7999999999999998</v>
          </cell>
          <cell r="H14">
            <v>3.5000000000000004</v>
          </cell>
          <cell r="I14">
            <v>9.8000000000000007</v>
          </cell>
          <cell r="J14">
            <v>23</v>
          </cell>
        </row>
        <row r="15">
          <cell r="A15" t="str">
            <v>IZ - Hébergement et restauration</v>
          </cell>
          <cell r="B15">
            <v>5.6000000000000005</v>
          </cell>
          <cell r="C15">
            <v>50.6</v>
          </cell>
          <cell r="D15">
            <v>4.1000000000000005</v>
          </cell>
          <cell r="E15">
            <v>47</v>
          </cell>
          <cell r="F15">
            <v>6.7</v>
          </cell>
          <cell r="G15">
            <v>1</v>
          </cell>
          <cell r="H15">
            <v>4.2</v>
          </cell>
          <cell r="I15">
            <v>21.5</v>
          </cell>
          <cell r="J15">
            <v>29.9</v>
          </cell>
        </row>
        <row r="16">
          <cell r="A16" t="str">
            <v>JZ - Information et communication</v>
          </cell>
          <cell r="B16">
            <v>10.7</v>
          </cell>
          <cell r="C16">
            <v>44.7</v>
          </cell>
          <cell r="D16">
            <v>3.3000000000000003</v>
          </cell>
          <cell r="E16">
            <v>31.6</v>
          </cell>
          <cell r="F16">
            <v>28.1</v>
          </cell>
          <cell r="G16">
            <v>16.8</v>
          </cell>
          <cell r="H16">
            <v>2.4</v>
          </cell>
          <cell r="I16">
            <v>33.6</v>
          </cell>
          <cell r="J16">
            <v>17.399999999999999</v>
          </cell>
        </row>
        <row r="17">
          <cell r="A17" t="str">
            <v>KZ - Activités financières et d'assurance</v>
          </cell>
          <cell r="B17">
            <v>14.000000000000002</v>
          </cell>
          <cell r="C17">
            <v>30.4</v>
          </cell>
          <cell r="D17">
            <v>7.0000000000000009</v>
          </cell>
          <cell r="E17">
            <v>25.2</v>
          </cell>
          <cell r="F17">
            <v>15.8</v>
          </cell>
          <cell r="G17">
            <v>10.299999999999999</v>
          </cell>
          <cell r="H17">
            <v>1.0999999999999999</v>
          </cell>
          <cell r="I17">
            <v>36.700000000000003</v>
          </cell>
          <cell r="J17">
            <v>17.899999999999999</v>
          </cell>
        </row>
        <row r="18">
          <cell r="A18" t="str">
            <v>LZ - Activités immobilières</v>
          </cell>
          <cell r="B18">
            <v>19</v>
          </cell>
          <cell r="C18">
            <v>20.8</v>
          </cell>
          <cell r="D18">
            <v>13.3</v>
          </cell>
          <cell r="E18">
            <v>31.5</v>
          </cell>
          <cell r="F18">
            <v>8</v>
          </cell>
          <cell r="G18">
            <v>1.2</v>
          </cell>
          <cell r="H18">
            <v>4.8</v>
          </cell>
          <cell r="I18">
            <v>37.299999999999997</v>
          </cell>
          <cell r="J18">
            <v>17.399999999999999</v>
          </cell>
        </row>
        <row r="19">
          <cell r="A19" t="str">
            <v xml:space="preserve">MN - Activités scientifiques et techniques ; services administratifs et de soutien </v>
          </cell>
          <cell r="B19">
            <v>15.4</v>
          </cell>
          <cell r="C19">
            <v>43.7</v>
          </cell>
          <cell r="D19">
            <v>8.6</v>
          </cell>
          <cell r="E19">
            <v>24.8</v>
          </cell>
          <cell r="F19">
            <v>17.7</v>
          </cell>
          <cell r="G19">
            <v>6.9</v>
          </cell>
          <cell r="H19">
            <v>6.8000000000000007</v>
          </cell>
          <cell r="I19">
            <v>19.600000000000001</v>
          </cell>
          <cell r="J19">
            <v>20.200000000000003</v>
          </cell>
        </row>
        <row r="20">
          <cell r="A20" t="str">
            <v>OQ - Enseignement, santé humaine et action sociale</v>
          </cell>
          <cell r="B20">
            <v>20.3</v>
          </cell>
          <cell r="C20">
            <v>15.7</v>
          </cell>
          <cell r="D20">
            <v>19.400000000000002</v>
          </cell>
          <cell r="E20">
            <v>41.199999999999996</v>
          </cell>
          <cell r="F20">
            <v>7.1999999999999993</v>
          </cell>
          <cell r="G20">
            <v>1.9</v>
          </cell>
          <cell r="H20">
            <v>5.3</v>
          </cell>
          <cell r="I20">
            <v>19.100000000000001</v>
          </cell>
          <cell r="J20">
            <v>20.5</v>
          </cell>
        </row>
        <row r="21">
          <cell r="A21" t="str">
            <v>RU - Autres activités de services</v>
          </cell>
          <cell r="B21">
            <v>17.599999999999998</v>
          </cell>
          <cell r="C21">
            <v>25.8</v>
          </cell>
          <cell r="D21">
            <v>6.9</v>
          </cell>
          <cell r="E21">
            <v>45.800000000000004</v>
          </cell>
          <cell r="F21">
            <v>9</v>
          </cell>
          <cell r="G21">
            <v>3.1</v>
          </cell>
          <cell r="H21">
            <v>3.1</v>
          </cell>
          <cell r="I21">
            <v>14.299999999999999</v>
          </cell>
          <cell r="J21">
            <v>25.8</v>
          </cell>
        </row>
      </sheetData>
    </sheetDataSet>
  </externalBook>
</externalLink>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16.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18.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indexed="44"/>
    <pageSetUpPr fitToPage="1"/>
  </sheetPr>
  <dimension ref="A1:X139"/>
  <sheetViews>
    <sheetView topLeftCell="A100" workbookViewId="0">
      <selection activeCell="M3" sqref="M3"/>
    </sheetView>
  </sheetViews>
  <sheetFormatPr baseColWidth="10" defaultRowHeight="11.25" x14ac:dyDescent="0.2"/>
  <cols>
    <col min="1" max="1" width="13.85546875" style="73" customWidth="1"/>
    <col min="2" max="10" width="11.5703125" style="73" customWidth="1"/>
    <col min="11" max="11" width="11.28515625" style="73" customWidth="1"/>
    <col min="12" max="12" width="10.7109375" style="73" customWidth="1"/>
    <col min="13" max="16384" width="11.42578125" style="73"/>
  </cols>
  <sheetData>
    <row r="1" spans="1:12" ht="31.5" customHeight="1" x14ac:dyDescent="0.2">
      <c r="A1" s="142" t="s">
        <v>113</v>
      </c>
      <c r="B1" s="143"/>
      <c r="C1" s="143"/>
      <c r="D1" s="143"/>
      <c r="E1" s="143"/>
      <c r="F1" s="143"/>
      <c r="G1" s="143"/>
      <c r="H1" s="143"/>
      <c r="I1" s="143"/>
      <c r="J1" s="143"/>
      <c r="K1" s="143"/>
      <c r="L1" s="143"/>
    </row>
    <row r="2" spans="1:12" ht="12" customHeight="1" x14ac:dyDescent="0.2">
      <c r="A2" s="74" t="s">
        <v>93</v>
      </c>
      <c r="B2" s="74"/>
      <c r="C2" s="74"/>
      <c r="D2" s="74"/>
      <c r="E2" s="74"/>
      <c r="F2" s="74"/>
      <c r="G2" s="74"/>
      <c r="H2" s="74"/>
      <c r="I2" s="74"/>
      <c r="J2" s="74"/>
      <c r="K2" s="74"/>
      <c r="L2" s="74"/>
    </row>
    <row r="3" spans="1:12" ht="40.5" customHeight="1" x14ac:dyDescent="0.2">
      <c r="A3" s="144" t="s">
        <v>94</v>
      </c>
      <c r="B3" s="144"/>
      <c r="C3" s="144"/>
      <c r="D3" s="144"/>
      <c r="E3" s="144"/>
      <c r="F3" s="144"/>
      <c r="G3" s="144"/>
      <c r="H3" s="144"/>
      <c r="I3" s="144"/>
      <c r="J3" s="144"/>
      <c r="K3" s="144"/>
      <c r="L3" s="144"/>
    </row>
    <row r="4" spans="1:12" ht="13.5" customHeight="1" x14ac:dyDescent="0.2">
      <c r="A4" s="138" t="s">
        <v>250</v>
      </c>
      <c r="B4" s="138"/>
      <c r="C4" s="138"/>
      <c r="D4" s="138"/>
      <c r="E4" s="138"/>
      <c r="F4" s="138"/>
      <c r="G4" s="138"/>
      <c r="H4" s="138"/>
      <c r="I4" s="138"/>
      <c r="J4" s="138"/>
      <c r="K4" s="138"/>
      <c r="L4" s="138"/>
    </row>
    <row r="5" spans="1:12" ht="12" customHeight="1" x14ac:dyDescent="0.2">
      <c r="A5" s="74" t="s">
        <v>95</v>
      </c>
      <c r="B5" s="74"/>
      <c r="C5" s="74"/>
      <c r="D5" s="74"/>
      <c r="E5" s="74"/>
      <c r="F5" s="74"/>
      <c r="G5" s="74"/>
      <c r="H5" s="74"/>
      <c r="I5" s="74"/>
      <c r="J5" s="74"/>
      <c r="K5" s="74"/>
      <c r="L5" s="74"/>
    </row>
    <row r="6" spans="1:12" ht="100.5" customHeight="1" x14ac:dyDescent="0.2">
      <c r="A6" s="138" t="s">
        <v>96</v>
      </c>
      <c r="B6" s="138"/>
      <c r="C6" s="138"/>
      <c r="D6" s="138"/>
      <c r="E6" s="138"/>
      <c r="F6" s="138"/>
      <c r="G6" s="138"/>
      <c r="H6" s="138"/>
      <c r="I6" s="138"/>
      <c r="J6" s="138"/>
      <c r="K6" s="138"/>
      <c r="L6" s="138"/>
    </row>
    <row r="7" spans="1:12" ht="12.75" customHeight="1" x14ac:dyDescent="0.2">
      <c r="A7" s="145" t="s">
        <v>97</v>
      </c>
      <c r="B7" s="145"/>
      <c r="C7" s="145"/>
      <c r="D7" s="145"/>
      <c r="E7" s="145"/>
      <c r="F7" s="145"/>
      <c r="G7" s="145"/>
      <c r="H7" s="145"/>
      <c r="I7" s="145"/>
      <c r="J7" s="145"/>
      <c r="K7" s="145"/>
      <c r="L7" s="145"/>
    </row>
    <row r="8" spans="1:12" ht="24" customHeight="1" x14ac:dyDescent="0.2">
      <c r="A8" s="146" t="s">
        <v>98</v>
      </c>
      <c r="B8" s="146"/>
      <c r="C8" s="146"/>
      <c r="D8" s="146"/>
      <c r="E8" s="146"/>
      <c r="F8" s="146"/>
      <c r="G8" s="146"/>
      <c r="H8" s="146"/>
      <c r="I8" s="146"/>
      <c r="J8" s="146"/>
      <c r="K8" s="146"/>
      <c r="L8" s="146"/>
    </row>
    <row r="9" spans="1:12" ht="76.5" customHeight="1" x14ac:dyDescent="0.2">
      <c r="A9" s="140" t="s">
        <v>112</v>
      </c>
      <c r="B9" s="140"/>
      <c r="C9" s="140"/>
      <c r="D9" s="140"/>
      <c r="E9" s="140"/>
      <c r="F9" s="140"/>
      <c r="G9" s="140"/>
      <c r="H9" s="140"/>
      <c r="I9" s="140"/>
      <c r="J9" s="140"/>
      <c r="K9" s="140"/>
      <c r="L9" s="140"/>
    </row>
    <row r="10" spans="1:12" ht="12" customHeight="1" x14ac:dyDescent="0.2">
      <c r="A10" s="141" t="s">
        <v>99</v>
      </c>
      <c r="B10" s="141"/>
      <c r="C10" s="141"/>
      <c r="D10" s="141"/>
      <c r="E10" s="141"/>
      <c r="F10" s="141"/>
      <c r="G10" s="141"/>
      <c r="H10" s="141"/>
      <c r="I10" s="141"/>
      <c r="J10" s="141"/>
      <c r="K10" s="141"/>
      <c r="L10" s="141"/>
    </row>
    <row r="11" spans="1:12" ht="12" customHeight="1" x14ac:dyDescent="0.2">
      <c r="A11" s="137"/>
      <c r="B11" s="137"/>
      <c r="C11" s="137"/>
      <c r="D11" s="137"/>
      <c r="E11" s="137"/>
      <c r="F11" s="137"/>
      <c r="G11" s="137"/>
      <c r="H11" s="137"/>
      <c r="I11" s="137"/>
      <c r="J11" s="137"/>
      <c r="K11" s="137"/>
      <c r="L11" s="137"/>
    </row>
    <row r="12" spans="1:12" ht="12" customHeight="1" x14ac:dyDescent="0.2">
      <c r="A12" s="136" t="s">
        <v>117</v>
      </c>
      <c r="B12" s="136"/>
      <c r="C12" s="136"/>
      <c r="D12" s="136"/>
      <c r="E12" s="136"/>
      <c r="F12" s="136"/>
      <c r="G12" s="136"/>
      <c r="H12" s="136"/>
      <c r="I12" s="136"/>
      <c r="J12" s="136"/>
      <c r="K12" s="136"/>
      <c r="L12" s="136"/>
    </row>
    <row r="13" spans="1:12" ht="12" customHeight="1" x14ac:dyDescent="0.2">
      <c r="A13" s="137"/>
      <c r="B13" s="137"/>
      <c r="C13" s="137"/>
      <c r="D13" s="137"/>
      <c r="E13" s="137"/>
      <c r="F13" s="137"/>
      <c r="G13" s="137"/>
      <c r="H13" s="137"/>
      <c r="I13" s="137"/>
      <c r="J13" s="137"/>
      <c r="K13" s="137"/>
      <c r="L13" s="137"/>
    </row>
    <row r="14" spans="1:12" ht="12" customHeight="1" x14ac:dyDescent="0.2">
      <c r="A14" s="136" t="s">
        <v>118</v>
      </c>
      <c r="B14" s="136"/>
      <c r="C14" s="136"/>
      <c r="D14" s="136"/>
      <c r="E14" s="136"/>
      <c r="F14" s="136"/>
      <c r="G14" s="136"/>
      <c r="H14" s="136"/>
      <c r="I14" s="136"/>
      <c r="J14" s="136"/>
      <c r="K14" s="136"/>
      <c r="L14" s="136"/>
    </row>
    <row r="15" spans="1:12" ht="12" customHeight="1" x14ac:dyDescent="0.2">
      <c r="A15" s="137"/>
      <c r="B15" s="137"/>
      <c r="C15" s="137"/>
      <c r="D15" s="137"/>
      <c r="E15" s="137"/>
      <c r="F15" s="137"/>
      <c r="G15" s="137"/>
      <c r="H15" s="137"/>
      <c r="I15" s="137"/>
      <c r="J15" s="137"/>
      <c r="K15" s="137"/>
      <c r="L15" s="137"/>
    </row>
    <row r="16" spans="1:12" ht="12" customHeight="1" x14ac:dyDescent="0.2">
      <c r="A16" s="136" t="s">
        <v>119</v>
      </c>
      <c r="B16" s="136"/>
      <c r="C16" s="136"/>
      <c r="D16" s="136"/>
      <c r="E16" s="136"/>
      <c r="F16" s="136"/>
      <c r="G16" s="136"/>
      <c r="H16" s="136"/>
      <c r="I16" s="136"/>
      <c r="J16" s="136"/>
      <c r="K16" s="136"/>
      <c r="L16" s="136"/>
    </row>
    <row r="17" spans="1:12" ht="12" customHeight="1" x14ac:dyDescent="0.2">
      <c r="A17" s="137"/>
      <c r="B17" s="137"/>
      <c r="C17" s="137"/>
      <c r="D17" s="137"/>
      <c r="E17" s="137"/>
      <c r="F17" s="137"/>
      <c r="G17" s="137"/>
      <c r="H17" s="137"/>
      <c r="I17" s="137"/>
      <c r="J17" s="137"/>
      <c r="K17" s="137"/>
      <c r="L17" s="137"/>
    </row>
    <row r="18" spans="1:12" ht="12" customHeight="1" x14ac:dyDescent="0.2">
      <c r="A18" s="136" t="s">
        <v>103</v>
      </c>
      <c r="B18" s="136"/>
      <c r="C18" s="136"/>
      <c r="D18" s="136"/>
      <c r="E18" s="136"/>
      <c r="F18" s="136"/>
      <c r="G18" s="136"/>
      <c r="H18" s="136"/>
      <c r="I18" s="136"/>
      <c r="J18" s="136"/>
      <c r="K18" s="136"/>
      <c r="L18" s="136"/>
    </row>
    <row r="19" spans="1:12" ht="12" customHeight="1" x14ac:dyDescent="0.2">
      <c r="A19" s="137"/>
      <c r="B19" s="137"/>
      <c r="C19" s="137"/>
      <c r="D19" s="137"/>
      <c r="E19" s="137"/>
      <c r="F19" s="137"/>
      <c r="G19" s="137"/>
      <c r="H19" s="137"/>
      <c r="I19" s="137"/>
      <c r="J19" s="137"/>
      <c r="K19" s="137"/>
      <c r="L19" s="137"/>
    </row>
    <row r="20" spans="1:12" ht="12" customHeight="1" x14ac:dyDescent="0.2">
      <c r="A20" s="136" t="s">
        <v>126</v>
      </c>
      <c r="B20" s="136"/>
      <c r="C20" s="136"/>
      <c r="D20" s="136"/>
      <c r="E20" s="136"/>
      <c r="F20" s="136"/>
      <c r="G20" s="136"/>
      <c r="H20" s="136"/>
      <c r="I20" s="136"/>
      <c r="J20" s="136"/>
      <c r="K20" s="136"/>
      <c r="L20" s="136"/>
    </row>
    <row r="21" spans="1:12" ht="12" customHeight="1" x14ac:dyDescent="0.2">
      <c r="A21" s="137"/>
      <c r="B21" s="137"/>
      <c r="C21" s="137"/>
      <c r="D21" s="137"/>
      <c r="E21" s="137"/>
      <c r="F21" s="137"/>
      <c r="G21" s="137"/>
      <c r="H21" s="137"/>
      <c r="I21" s="137"/>
      <c r="J21" s="137"/>
      <c r="K21" s="137"/>
      <c r="L21" s="137"/>
    </row>
    <row r="22" spans="1:12" ht="12" customHeight="1" x14ac:dyDescent="0.2">
      <c r="A22" s="136" t="s">
        <v>124</v>
      </c>
      <c r="B22" s="136"/>
      <c r="C22" s="136"/>
      <c r="D22" s="136"/>
      <c r="E22" s="136"/>
      <c r="F22" s="136"/>
      <c r="G22" s="136"/>
      <c r="H22" s="136"/>
      <c r="I22" s="136"/>
      <c r="J22" s="136"/>
      <c r="K22" s="136"/>
      <c r="L22" s="136"/>
    </row>
    <row r="23" spans="1:12" ht="12" customHeight="1" x14ac:dyDescent="0.2">
      <c r="A23" s="137"/>
      <c r="B23" s="137"/>
      <c r="C23" s="137"/>
      <c r="D23" s="137"/>
      <c r="E23" s="137"/>
      <c r="F23" s="137"/>
      <c r="G23" s="137"/>
      <c r="H23" s="137"/>
      <c r="I23" s="137"/>
      <c r="J23" s="137"/>
      <c r="K23" s="137"/>
      <c r="L23" s="137"/>
    </row>
    <row r="24" spans="1:12" ht="12" customHeight="1" x14ac:dyDescent="0.2">
      <c r="A24" s="136" t="s">
        <v>125</v>
      </c>
      <c r="B24" s="136"/>
      <c r="C24" s="136"/>
      <c r="D24" s="136"/>
      <c r="E24" s="136"/>
      <c r="F24" s="136"/>
      <c r="G24" s="136"/>
      <c r="H24" s="136"/>
      <c r="I24" s="136"/>
      <c r="J24" s="136"/>
      <c r="K24" s="136"/>
      <c r="L24" s="136"/>
    </row>
    <row r="25" spans="1:12" ht="12" customHeight="1" x14ac:dyDescent="0.2">
      <c r="A25" s="137"/>
      <c r="B25" s="137"/>
      <c r="C25" s="137"/>
      <c r="D25" s="137"/>
      <c r="E25" s="137"/>
      <c r="F25" s="137"/>
      <c r="G25" s="137"/>
      <c r="H25" s="137"/>
      <c r="I25" s="137"/>
      <c r="J25" s="137"/>
      <c r="K25" s="137"/>
      <c r="L25" s="137"/>
    </row>
    <row r="26" spans="1:12" ht="12" customHeight="1" x14ac:dyDescent="0.2">
      <c r="A26" s="136" t="s">
        <v>131</v>
      </c>
      <c r="B26" s="136"/>
      <c r="C26" s="136"/>
      <c r="D26" s="136"/>
      <c r="E26" s="136"/>
      <c r="F26" s="136"/>
      <c r="G26" s="136"/>
      <c r="H26" s="136"/>
      <c r="I26" s="136"/>
      <c r="J26" s="136"/>
      <c r="K26" s="136"/>
      <c r="L26" s="136"/>
    </row>
    <row r="27" spans="1:12" ht="12" customHeight="1" x14ac:dyDescent="0.2">
      <c r="A27" s="137"/>
      <c r="B27" s="137"/>
      <c r="C27" s="137"/>
      <c r="D27" s="137"/>
      <c r="E27" s="137"/>
      <c r="F27" s="137"/>
      <c r="G27" s="137"/>
      <c r="H27" s="137"/>
      <c r="I27" s="137"/>
      <c r="J27" s="137"/>
      <c r="K27" s="137"/>
      <c r="L27" s="137"/>
    </row>
    <row r="28" spans="1:12" ht="12" customHeight="1" x14ac:dyDescent="0.2">
      <c r="A28" s="136" t="s">
        <v>130</v>
      </c>
      <c r="B28" s="136"/>
      <c r="C28" s="136"/>
      <c r="D28" s="136"/>
      <c r="E28" s="136"/>
      <c r="F28" s="136"/>
      <c r="G28" s="136"/>
      <c r="H28" s="136"/>
      <c r="I28" s="136"/>
      <c r="J28" s="136"/>
      <c r="K28" s="136"/>
      <c r="L28" s="136"/>
    </row>
    <row r="29" spans="1:12" ht="12" customHeight="1" x14ac:dyDescent="0.2">
      <c r="A29" s="137"/>
      <c r="B29" s="137"/>
      <c r="C29" s="137"/>
      <c r="D29" s="137"/>
      <c r="E29" s="137"/>
      <c r="F29" s="137"/>
      <c r="G29" s="137"/>
      <c r="H29" s="137"/>
      <c r="I29" s="137"/>
      <c r="J29" s="137"/>
      <c r="K29" s="137"/>
      <c r="L29" s="137"/>
    </row>
    <row r="30" spans="1:12" ht="12" customHeight="1" x14ac:dyDescent="0.2">
      <c r="A30" s="136" t="s">
        <v>132</v>
      </c>
      <c r="B30" s="136"/>
      <c r="C30" s="136"/>
      <c r="D30" s="136"/>
      <c r="E30" s="136"/>
      <c r="F30" s="136"/>
      <c r="G30" s="136"/>
      <c r="H30" s="136"/>
      <c r="I30" s="136"/>
      <c r="J30" s="136"/>
      <c r="K30" s="136"/>
      <c r="L30" s="136"/>
    </row>
    <row r="31" spans="1:12" ht="12" customHeight="1" x14ac:dyDescent="0.2">
      <c r="A31" s="137"/>
      <c r="B31" s="137"/>
      <c r="C31" s="137"/>
      <c r="D31" s="137"/>
      <c r="E31" s="137"/>
      <c r="F31" s="137"/>
      <c r="G31" s="137"/>
      <c r="H31" s="137"/>
      <c r="I31" s="137"/>
      <c r="J31" s="137"/>
      <c r="K31" s="137"/>
      <c r="L31" s="137"/>
    </row>
    <row r="32" spans="1:12" ht="12" customHeight="1" x14ac:dyDescent="0.2">
      <c r="A32" s="136" t="s">
        <v>134</v>
      </c>
      <c r="B32" s="136"/>
      <c r="C32" s="136"/>
      <c r="D32" s="136"/>
      <c r="E32" s="136"/>
      <c r="F32" s="136"/>
      <c r="G32" s="136"/>
      <c r="H32" s="136"/>
      <c r="I32" s="136"/>
      <c r="J32" s="136"/>
      <c r="K32" s="136"/>
      <c r="L32" s="136"/>
    </row>
    <row r="33" spans="1:12" ht="12" customHeight="1" x14ac:dyDescent="0.2">
      <c r="A33" s="137"/>
      <c r="B33" s="137"/>
      <c r="C33" s="137"/>
      <c r="D33" s="137"/>
      <c r="E33" s="137"/>
      <c r="F33" s="137"/>
      <c r="G33" s="137"/>
      <c r="H33" s="137"/>
      <c r="I33" s="137"/>
      <c r="J33" s="137"/>
      <c r="K33" s="137"/>
      <c r="L33" s="137"/>
    </row>
    <row r="34" spans="1:12" ht="12" customHeight="1" x14ac:dyDescent="0.2">
      <c r="A34" s="136" t="s">
        <v>138</v>
      </c>
      <c r="B34" s="136"/>
      <c r="C34" s="136"/>
      <c r="D34" s="136"/>
      <c r="E34" s="136"/>
      <c r="F34" s="136"/>
      <c r="G34" s="136"/>
      <c r="H34" s="136"/>
      <c r="I34" s="136"/>
      <c r="J34" s="136"/>
      <c r="K34" s="136"/>
      <c r="L34" s="136"/>
    </row>
    <row r="35" spans="1:12" ht="12" customHeight="1" x14ac:dyDescent="0.2">
      <c r="A35" s="137"/>
      <c r="B35" s="137"/>
      <c r="C35" s="137"/>
      <c r="D35" s="137"/>
      <c r="E35" s="137"/>
      <c r="F35" s="137"/>
      <c r="G35" s="137"/>
      <c r="H35" s="137"/>
      <c r="I35" s="137"/>
      <c r="J35" s="137"/>
      <c r="K35" s="137"/>
      <c r="L35" s="137"/>
    </row>
    <row r="36" spans="1:12" ht="12" customHeight="1" x14ac:dyDescent="0.2">
      <c r="A36" s="136" t="s">
        <v>139</v>
      </c>
      <c r="B36" s="136"/>
      <c r="C36" s="136"/>
      <c r="D36" s="136"/>
      <c r="E36" s="136"/>
      <c r="F36" s="136"/>
      <c r="G36" s="136"/>
      <c r="H36" s="136"/>
      <c r="I36" s="136"/>
      <c r="J36" s="136"/>
      <c r="K36" s="136"/>
      <c r="L36" s="136"/>
    </row>
    <row r="37" spans="1:12" ht="12" customHeight="1" x14ac:dyDescent="0.2">
      <c r="A37" s="137"/>
      <c r="B37" s="137"/>
      <c r="C37" s="137"/>
      <c r="D37" s="137"/>
      <c r="E37" s="137"/>
      <c r="F37" s="137"/>
      <c r="G37" s="137"/>
      <c r="H37" s="137"/>
      <c r="I37" s="137"/>
      <c r="J37" s="137"/>
      <c r="K37" s="137"/>
      <c r="L37" s="137"/>
    </row>
    <row r="38" spans="1:12" ht="12" customHeight="1" x14ac:dyDescent="0.2">
      <c r="A38" s="136" t="s">
        <v>140</v>
      </c>
      <c r="B38" s="136"/>
      <c r="C38" s="136"/>
      <c r="D38" s="136"/>
      <c r="E38" s="136"/>
      <c r="F38" s="136"/>
      <c r="G38" s="136"/>
      <c r="H38" s="136"/>
      <c r="I38" s="136"/>
      <c r="J38" s="136"/>
      <c r="K38" s="136"/>
      <c r="L38" s="136"/>
    </row>
    <row r="39" spans="1:12" ht="12" customHeight="1" x14ac:dyDescent="0.2">
      <c r="A39" s="136"/>
      <c r="B39" s="136"/>
      <c r="C39" s="136"/>
      <c r="D39" s="136"/>
      <c r="E39" s="136"/>
      <c r="F39" s="136"/>
      <c r="G39" s="136"/>
      <c r="H39" s="136"/>
      <c r="I39" s="136"/>
      <c r="J39" s="136"/>
      <c r="K39" s="136"/>
      <c r="L39" s="136"/>
    </row>
    <row r="40" spans="1:12" ht="12" customHeight="1" x14ac:dyDescent="0.2">
      <c r="A40" s="136" t="s">
        <v>143</v>
      </c>
      <c r="B40" s="136"/>
      <c r="C40" s="136"/>
      <c r="D40" s="136"/>
      <c r="E40" s="136"/>
      <c r="F40" s="136"/>
      <c r="G40" s="136"/>
      <c r="H40" s="136"/>
      <c r="I40" s="136"/>
      <c r="J40" s="136"/>
      <c r="K40" s="136"/>
      <c r="L40" s="136"/>
    </row>
    <row r="41" spans="1:12" ht="12" customHeight="1" x14ac:dyDescent="0.2">
      <c r="A41" s="137"/>
      <c r="B41" s="137"/>
      <c r="C41" s="137"/>
      <c r="D41" s="137"/>
      <c r="E41" s="137"/>
      <c r="F41" s="137"/>
      <c r="G41" s="137"/>
      <c r="H41" s="137"/>
      <c r="I41" s="137"/>
      <c r="J41" s="137"/>
      <c r="K41" s="137"/>
      <c r="L41" s="137"/>
    </row>
    <row r="42" spans="1:12" ht="12" customHeight="1" x14ac:dyDescent="0.2">
      <c r="A42" s="136" t="s">
        <v>145</v>
      </c>
      <c r="B42" s="136"/>
      <c r="C42" s="136"/>
      <c r="D42" s="136"/>
      <c r="E42" s="136"/>
      <c r="F42" s="136"/>
      <c r="G42" s="136"/>
      <c r="H42" s="136"/>
      <c r="I42" s="136"/>
      <c r="J42" s="136"/>
      <c r="K42" s="136"/>
      <c r="L42" s="136"/>
    </row>
    <row r="43" spans="1:12" ht="12" customHeight="1" x14ac:dyDescent="0.2">
      <c r="A43" s="136"/>
      <c r="B43" s="136"/>
      <c r="C43" s="136"/>
      <c r="D43" s="136"/>
      <c r="E43" s="136"/>
      <c r="F43" s="136"/>
      <c r="G43" s="136"/>
      <c r="H43" s="136"/>
      <c r="I43" s="136"/>
      <c r="J43" s="136"/>
      <c r="K43" s="136"/>
      <c r="L43" s="136"/>
    </row>
    <row r="44" spans="1:12" ht="12" customHeight="1" x14ac:dyDescent="0.2">
      <c r="A44" s="136" t="s">
        <v>147</v>
      </c>
      <c r="B44" s="136"/>
      <c r="C44" s="136"/>
      <c r="D44" s="136"/>
      <c r="E44" s="136"/>
      <c r="F44" s="136"/>
      <c r="G44" s="136"/>
      <c r="H44" s="136"/>
      <c r="I44" s="136"/>
      <c r="J44" s="136"/>
      <c r="K44" s="136"/>
      <c r="L44" s="136"/>
    </row>
    <row r="45" spans="1:12" ht="12" customHeight="1" x14ac:dyDescent="0.2">
      <c r="A45" s="137"/>
      <c r="B45" s="137"/>
      <c r="C45" s="137"/>
      <c r="D45" s="137"/>
      <c r="E45" s="137"/>
      <c r="F45" s="137"/>
      <c r="G45" s="137"/>
      <c r="H45" s="137"/>
      <c r="I45" s="137"/>
      <c r="J45" s="137"/>
      <c r="K45" s="137"/>
      <c r="L45" s="137"/>
    </row>
    <row r="46" spans="1:12" ht="12" customHeight="1" x14ac:dyDescent="0.2">
      <c r="A46" s="136" t="s">
        <v>150</v>
      </c>
      <c r="B46" s="136"/>
      <c r="C46" s="136"/>
      <c r="D46" s="136"/>
      <c r="E46" s="136"/>
      <c r="F46" s="136"/>
      <c r="G46" s="136"/>
      <c r="H46" s="136"/>
      <c r="I46" s="136"/>
      <c r="J46" s="136"/>
      <c r="K46" s="136"/>
      <c r="L46" s="136"/>
    </row>
    <row r="47" spans="1:12" ht="12" customHeight="1" x14ac:dyDescent="0.2">
      <c r="A47" s="137"/>
      <c r="B47" s="137"/>
      <c r="C47" s="137"/>
      <c r="D47" s="137"/>
      <c r="E47" s="137"/>
      <c r="F47" s="137"/>
      <c r="G47" s="137"/>
      <c r="H47" s="137"/>
      <c r="I47" s="137"/>
      <c r="J47" s="137"/>
      <c r="K47" s="137"/>
      <c r="L47" s="137"/>
    </row>
    <row r="48" spans="1:12" ht="12" customHeight="1" x14ac:dyDescent="0.2">
      <c r="A48" s="136" t="s">
        <v>153</v>
      </c>
      <c r="B48" s="136"/>
      <c r="C48" s="136"/>
      <c r="D48" s="136"/>
      <c r="E48" s="136"/>
      <c r="F48" s="136"/>
      <c r="G48" s="136"/>
      <c r="H48" s="136"/>
      <c r="I48" s="136"/>
      <c r="J48" s="136"/>
      <c r="K48" s="136"/>
      <c r="L48" s="136"/>
    </row>
    <row r="49" spans="1:12" ht="12" customHeight="1" x14ac:dyDescent="0.2">
      <c r="A49" s="137"/>
      <c r="B49" s="137"/>
      <c r="C49" s="137"/>
      <c r="D49" s="137"/>
      <c r="E49" s="137"/>
      <c r="F49" s="137"/>
      <c r="G49" s="137"/>
      <c r="H49" s="137"/>
      <c r="I49" s="137"/>
      <c r="J49" s="137"/>
      <c r="K49" s="137"/>
      <c r="L49" s="137"/>
    </row>
    <row r="50" spans="1:12" ht="12" customHeight="1" x14ac:dyDescent="0.2">
      <c r="A50" s="136" t="s">
        <v>154</v>
      </c>
      <c r="B50" s="136"/>
      <c r="C50" s="136"/>
      <c r="D50" s="136"/>
      <c r="E50" s="136"/>
      <c r="F50" s="136"/>
      <c r="G50" s="136"/>
      <c r="H50" s="136"/>
      <c r="I50" s="136"/>
      <c r="J50" s="136"/>
      <c r="K50" s="136"/>
      <c r="L50" s="136"/>
    </row>
    <row r="51" spans="1:12" ht="12" customHeight="1" x14ac:dyDescent="0.2">
      <c r="A51" s="136"/>
      <c r="B51" s="136"/>
      <c r="C51" s="136"/>
      <c r="D51" s="136"/>
      <c r="E51" s="136"/>
      <c r="F51" s="136"/>
      <c r="G51" s="136"/>
      <c r="H51" s="136"/>
      <c r="I51" s="136"/>
      <c r="J51" s="136"/>
      <c r="K51" s="136"/>
      <c r="L51" s="136"/>
    </row>
    <row r="52" spans="1:12" ht="12" customHeight="1" x14ac:dyDescent="0.2">
      <c r="A52" s="136" t="s">
        <v>160</v>
      </c>
      <c r="B52" s="136"/>
      <c r="C52" s="136"/>
      <c r="D52" s="136"/>
      <c r="E52" s="136"/>
      <c r="F52" s="136"/>
      <c r="G52" s="136"/>
      <c r="H52" s="136"/>
      <c r="I52" s="136"/>
      <c r="J52" s="136"/>
      <c r="K52" s="136"/>
      <c r="L52" s="136"/>
    </row>
    <row r="53" spans="1:12" ht="12" customHeight="1" x14ac:dyDescent="0.2">
      <c r="A53" s="136"/>
      <c r="B53" s="136"/>
      <c r="C53" s="136"/>
      <c r="D53" s="136"/>
      <c r="E53" s="136"/>
      <c r="F53" s="136"/>
      <c r="G53" s="136"/>
      <c r="H53" s="136"/>
      <c r="I53" s="136"/>
      <c r="J53" s="136"/>
      <c r="K53" s="136"/>
      <c r="L53" s="136"/>
    </row>
    <row r="54" spans="1:12" ht="12" customHeight="1" x14ac:dyDescent="0.2">
      <c r="A54" s="136" t="s">
        <v>163</v>
      </c>
      <c r="B54" s="136"/>
      <c r="C54" s="136"/>
      <c r="D54" s="136"/>
      <c r="E54" s="136"/>
      <c r="F54" s="136"/>
      <c r="G54" s="136"/>
      <c r="H54" s="136"/>
      <c r="I54" s="136"/>
      <c r="J54" s="136"/>
      <c r="K54" s="136"/>
      <c r="L54" s="136"/>
    </row>
    <row r="55" spans="1:12" ht="12" customHeight="1" x14ac:dyDescent="0.2">
      <c r="A55" s="136"/>
      <c r="B55" s="136"/>
      <c r="C55" s="136"/>
      <c r="D55" s="136"/>
      <c r="E55" s="136"/>
      <c r="F55" s="136"/>
      <c r="G55" s="136"/>
      <c r="H55" s="136"/>
      <c r="I55" s="136"/>
      <c r="J55" s="136"/>
      <c r="K55" s="136"/>
      <c r="L55" s="136"/>
    </row>
    <row r="56" spans="1:12" ht="12" customHeight="1" x14ac:dyDescent="0.2">
      <c r="A56" s="136" t="s">
        <v>164</v>
      </c>
      <c r="B56" s="136"/>
      <c r="C56" s="136"/>
      <c r="D56" s="136"/>
      <c r="E56" s="136"/>
      <c r="F56" s="136"/>
      <c r="G56" s="136"/>
      <c r="H56" s="136"/>
      <c r="I56" s="136"/>
      <c r="J56" s="136"/>
      <c r="K56" s="136"/>
      <c r="L56" s="136"/>
    </row>
    <row r="57" spans="1:12" ht="12" customHeight="1" x14ac:dyDescent="0.2">
      <c r="A57" s="137"/>
      <c r="B57" s="137"/>
      <c r="C57" s="137"/>
      <c r="D57" s="137"/>
      <c r="E57" s="137"/>
      <c r="F57" s="137"/>
      <c r="G57" s="137"/>
      <c r="H57" s="137"/>
      <c r="I57" s="137"/>
      <c r="J57" s="137"/>
      <c r="K57" s="137"/>
      <c r="L57" s="137"/>
    </row>
    <row r="58" spans="1:12" ht="12" customHeight="1" x14ac:dyDescent="0.2">
      <c r="A58" s="136" t="s">
        <v>166</v>
      </c>
      <c r="B58" s="136"/>
      <c r="C58" s="136"/>
      <c r="D58" s="136"/>
      <c r="E58" s="136"/>
      <c r="F58" s="136"/>
      <c r="G58" s="136"/>
      <c r="H58" s="136"/>
      <c r="I58" s="136"/>
      <c r="J58" s="136"/>
      <c r="K58" s="136"/>
      <c r="L58" s="136"/>
    </row>
    <row r="59" spans="1:12" ht="12" customHeight="1" x14ac:dyDescent="0.2">
      <c r="A59" s="137"/>
      <c r="B59" s="137"/>
      <c r="C59" s="137"/>
      <c r="D59" s="137"/>
      <c r="E59" s="137"/>
      <c r="F59" s="137"/>
      <c r="G59" s="137"/>
      <c r="H59" s="137"/>
      <c r="I59" s="137"/>
      <c r="J59" s="137"/>
      <c r="K59" s="137"/>
      <c r="L59" s="137"/>
    </row>
    <row r="60" spans="1:12" ht="12" customHeight="1" x14ac:dyDescent="0.2">
      <c r="A60" s="136" t="s">
        <v>167</v>
      </c>
      <c r="B60" s="136"/>
      <c r="C60" s="136"/>
      <c r="D60" s="136"/>
      <c r="E60" s="136"/>
      <c r="F60" s="136"/>
      <c r="G60" s="136"/>
      <c r="H60" s="136"/>
      <c r="I60" s="136"/>
      <c r="J60" s="136"/>
      <c r="K60" s="136"/>
      <c r="L60" s="136"/>
    </row>
    <row r="61" spans="1:12" ht="12" customHeight="1" x14ac:dyDescent="0.2">
      <c r="A61" s="137"/>
      <c r="B61" s="137"/>
      <c r="C61" s="137"/>
      <c r="D61" s="137"/>
      <c r="E61" s="137"/>
      <c r="F61" s="137"/>
      <c r="G61" s="137"/>
      <c r="H61" s="137"/>
      <c r="I61" s="137"/>
      <c r="J61" s="137"/>
      <c r="K61" s="137"/>
      <c r="L61" s="137"/>
    </row>
    <row r="62" spans="1:12" ht="12" customHeight="1" x14ac:dyDescent="0.2">
      <c r="A62" s="136" t="s">
        <v>168</v>
      </c>
      <c r="B62" s="136"/>
      <c r="C62" s="136"/>
      <c r="D62" s="136"/>
      <c r="E62" s="136"/>
      <c r="F62" s="136"/>
      <c r="G62" s="136"/>
      <c r="H62" s="136"/>
      <c r="I62" s="136"/>
      <c r="J62" s="136"/>
      <c r="K62" s="136"/>
      <c r="L62" s="136"/>
    </row>
    <row r="63" spans="1:12" ht="12" customHeight="1" x14ac:dyDescent="0.2">
      <c r="A63" s="137"/>
      <c r="B63" s="137"/>
      <c r="C63" s="137"/>
      <c r="D63" s="137"/>
      <c r="E63" s="137"/>
      <c r="F63" s="137"/>
      <c r="G63" s="137"/>
      <c r="H63" s="137"/>
      <c r="I63" s="137"/>
      <c r="J63" s="137"/>
      <c r="K63" s="137"/>
      <c r="L63" s="137"/>
    </row>
    <row r="64" spans="1:12" ht="12" customHeight="1" x14ac:dyDescent="0.2">
      <c r="A64" s="136" t="s">
        <v>169</v>
      </c>
      <c r="B64" s="136"/>
      <c r="C64" s="136"/>
      <c r="D64" s="136"/>
      <c r="E64" s="136"/>
      <c r="F64" s="136"/>
      <c r="G64" s="136"/>
      <c r="H64" s="136"/>
      <c r="I64" s="136"/>
      <c r="J64" s="136"/>
      <c r="K64" s="136"/>
      <c r="L64" s="136"/>
    </row>
    <row r="65" spans="1:12" ht="12" customHeight="1" x14ac:dyDescent="0.2">
      <c r="A65" s="137"/>
      <c r="B65" s="137"/>
      <c r="C65" s="137"/>
      <c r="D65" s="137"/>
      <c r="E65" s="137"/>
      <c r="F65" s="137"/>
      <c r="G65" s="137"/>
      <c r="H65" s="137"/>
      <c r="I65" s="137"/>
      <c r="J65" s="137"/>
      <c r="K65" s="137"/>
      <c r="L65" s="137"/>
    </row>
    <row r="66" spans="1:12" ht="12" customHeight="1" x14ac:dyDescent="0.2">
      <c r="A66" s="136" t="s">
        <v>170</v>
      </c>
      <c r="B66" s="136"/>
      <c r="C66" s="136"/>
      <c r="D66" s="136"/>
      <c r="E66" s="136"/>
      <c r="F66" s="136"/>
      <c r="G66" s="136"/>
      <c r="H66" s="136"/>
      <c r="I66" s="136"/>
      <c r="J66" s="136"/>
      <c r="K66" s="136"/>
      <c r="L66" s="136"/>
    </row>
    <row r="67" spans="1:12" ht="12" customHeight="1" x14ac:dyDescent="0.2">
      <c r="A67" s="137"/>
      <c r="B67" s="137"/>
      <c r="C67" s="137"/>
      <c r="D67" s="137"/>
      <c r="E67" s="137"/>
      <c r="F67" s="137"/>
      <c r="G67" s="137"/>
      <c r="H67" s="137"/>
      <c r="I67" s="137"/>
      <c r="J67" s="137"/>
      <c r="K67" s="137"/>
      <c r="L67" s="137"/>
    </row>
    <row r="68" spans="1:12" ht="12" customHeight="1" x14ac:dyDescent="0.2">
      <c r="A68" s="136" t="s">
        <v>171</v>
      </c>
      <c r="B68" s="136"/>
      <c r="C68" s="136"/>
      <c r="D68" s="136"/>
      <c r="E68" s="136"/>
      <c r="F68" s="136"/>
      <c r="G68" s="136"/>
      <c r="H68" s="136"/>
      <c r="I68" s="136"/>
      <c r="J68" s="136"/>
      <c r="K68" s="136"/>
      <c r="L68" s="136"/>
    </row>
    <row r="69" spans="1:12" ht="12" customHeight="1" x14ac:dyDescent="0.2">
      <c r="A69" s="137"/>
      <c r="B69" s="137"/>
      <c r="C69" s="137"/>
      <c r="D69" s="137"/>
      <c r="E69" s="137"/>
      <c r="F69" s="137"/>
      <c r="G69" s="137"/>
      <c r="H69" s="137"/>
      <c r="I69" s="137"/>
      <c r="J69" s="137"/>
      <c r="K69" s="137"/>
      <c r="L69" s="137"/>
    </row>
    <row r="70" spans="1:12" ht="12" customHeight="1" x14ac:dyDescent="0.2">
      <c r="A70" s="136" t="s">
        <v>172</v>
      </c>
      <c r="B70" s="136"/>
      <c r="C70" s="136"/>
      <c r="D70" s="136"/>
      <c r="E70" s="136"/>
      <c r="F70" s="136"/>
      <c r="G70" s="136"/>
      <c r="H70" s="136"/>
      <c r="I70" s="136"/>
      <c r="J70" s="136"/>
      <c r="K70" s="136"/>
      <c r="L70" s="136"/>
    </row>
    <row r="71" spans="1:12" ht="12" customHeight="1" x14ac:dyDescent="0.2">
      <c r="A71" s="137"/>
      <c r="B71" s="137"/>
      <c r="C71" s="137"/>
      <c r="D71" s="137"/>
      <c r="E71" s="137"/>
      <c r="F71" s="137"/>
      <c r="G71" s="137"/>
      <c r="H71" s="137"/>
      <c r="I71" s="137"/>
      <c r="J71" s="137"/>
      <c r="K71" s="137"/>
      <c r="L71" s="137"/>
    </row>
    <row r="72" spans="1:12" ht="12" customHeight="1" x14ac:dyDescent="0.2">
      <c r="A72" s="136" t="s">
        <v>174</v>
      </c>
      <c r="B72" s="136"/>
      <c r="C72" s="136"/>
      <c r="D72" s="136"/>
      <c r="E72" s="136"/>
      <c r="F72" s="136"/>
      <c r="G72" s="136"/>
      <c r="H72" s="136"/>
      <c r="I72" s="136"/>
      <c r="J72" s="136"/>
      <c r="K72" s="136"/>
      <c r="L72" s="136"/>
    </row>
    <row r="73" spans="1:12" ht="12" customHeight="1" x14ac:dyDescent="0.2">
      <c r="A73" s="137"/>
      <c r="B73" s="137"/>
      <c r="C73" s="137"/>
      <c r="D73" s="137"/>
      <c r="E73" s="137"/>
      <c r="F73" s="137"/>
      <c r="G73" s="137"/>
      <c r="H73" s="137"/>
      <c r="I73" s="137"/>
      <c r="J73" s="137"/>
      <c r="K73" s="137"/>
      <c r="L73" s="137"/>
    </row>
    <row r="74" spans="1:12" ht="12" customHeight="1" x14ac:dyDescent="0.2">
      <c r="A74" s="136" t="s">
        <v>175</v>
      </c>
      <c r="B74" s="136"/>
      <c r="C74" s="136"/>
      <c r="D74" s="136"/>
      <c r="E74" s="136"/>
      <c r="F74" s="136"/>
      <c r="G74" s="136"/>
      <c r="H74" s="136"/>
      <c r="I74" s="136"/>
      <c r="J74" s="136"/>
      <c r="K74" s="136"/>
      <c r="L74" s="136"/>
    </row>
    <row r="75" spans="1:12" ht="12" customHeight="1" x14ac:dyDescent="0.2">
      <c r="A75" s="137"/>
      <c r="B75" s="137"/>
      <c r="C75" s="137"/>
      <c r="D75" s="137"/>
      <c r="E75" s="137"/>
      <c r="F75" s="137"/>
      <c r="G75" s="137"/>
      <c r="H75" s="137"/>
      <c r="I75" s="137"/>
      <c r="J75" s="137"/>
      <c r="K75" s="137"/>
      <c r="L75" s="137"/>
    </row>
    <row r="76" spans="1:12" ht="12" customHeight="1" x14ac:dyDescent="0.2">
      <c r="A76" s="136" t="s">
        <v>176</v>
      </c>
      <c r="B76" s="136"/>
      <c r="C76" s="136"/>
      <c r="D76" s="136"/>
      <c r="E76" s="136"/>
      <c r="F76" s="136"/>
      <c r="G76" s="136"/>
      <c r="H76" s="136"/>
      <c r="I76" s="136"/>
      <c r="J76" s="136"/>
      <c r="K76" s="136"/>
      <c r="L76" s="136"/>
    </row>
    <row r="77" spans="1:12" ht="12" customHeight="1" x14ac:dyDescent="0.2">
      <c r="A77" s="137"/>
      <c r="B77" s="137"/>
      <c r="C77" s="137"/>
      <c r="D77" s="137"/>
      <c r="E77" s="137"/>
      <c r="F77" s="137"/>
      <c r="G77" s="137"/>
      <c r="H77" s="137"/>
      <c r="I77" s="137"/>
      <c r="J77" s="137"/>
      <c r="K77" s="137"/>
      <c r="L77" s="137"/>
    </row>
    <row r="78" spans="1:12" ht="12" customHeight="1" x14ac:dyDescent="0.2">
      <c r="A78" s="136" t="s">
        <v>177</v>
      </c>
      <c r="B78" s="136"/>
      <c r="C78" s="136"/>
      <c r="D78" s="136"/>
      <c r="E78" s="136"/>
      <c r="F78" s="136"/>
      <c r="G78" s="136"/>
      <c r="H78" s="136"/>
      <c r="I78" s="136"/>
      <c r="J78" s="136"/>
      <c r="K78" s="136"/>
      <c r="L78" s="136"/>
    </row>
    <row r="79" spans="1:12" ht="12" customHeight="1" x14ac:dyDescent="0.2">
      <c r="A79" s="137"/>
      <c r="B79" s="137"/>
      <c r="C79" s="137"/>
      <c r="D79" s="137"/>
      <c r="E79" s="137"/>
      <c r="F79" s="137"/>
      <c r="G79" s="137"/>
      <c r="H79" s="137"/>
      <c r="I79" s="137"/>
      <c r="J79" s="137"/>
      <c r="K79" s="137"/>
      <c r="L79" s="137"/>
    </row>
    <row r="80" spans="1:12" ht="12" customHeight="1" x14ac:dyDescent="0.2">
      <c r="A80" s="136" t="s">
        <v>178</v>
      </c>
      <c r="B80" s="136"/>
      <c r="C80" s="136"/>
      <c r="D80" s="136"/>
      <c r="E80" s="136"/>
      <c r="F80" s="136"/>
      <c r="G80" s="136"/>
      <c r="H80" s="136"/>
      <c r="I80" s="136"/>
      <c r="J80" s="136"/>
      <c r="K80" s="136"/>
      <c r="L80" s="136"/>
    </row>
    <row r="81" spans="1:24" ht="12" customHeight="1" x14ac:dyDescent="0.2">
      <c r="A81" s="137"/>
      <c r="B81" s="137"/>
      <c r="C81" s="137"/>
      <c r="D81" s="137"/>
      <c r="E81" s="137"/>
      <c r="F81" s="137"/>
      <c r="G81" s="137"/>
      <c r="H81" s="137"/>
      <c r="I81" s="137"/>
      <c r="J81" s="137"/>
      <c r="K81" s="137"/>
      <c r="L81" s="137"/>
    </row>
    <row r="82" spans="1:24" ht="12" customHeight="1" x14ac:dyDescent="0.2">
      <c r="A82" s="136" t="s">
        <v>179</v>
      </c>
      <c r="B82" s="136"/>
      <c r="C82" s="136"/>
      <c r="D82" s="136"/>
      <c r="E82" s="136"/>
      <c r="F82" s="136"/>
      <c r="G82" s="136"/>
      <c r="H82" s="136"/>
      <c r="I82" s="136"/>
      <c r="J82" s="136"/>
      <c r="K82" s="136"/>
      <c r="L82" s="136"/>
    </row>
    <row r="83" spans="1:24" ht="12" customHeight="1" x14ac:dyDescent="0.2">
      <c r="A83" s="137"/>
      <c r="B83" s="137"/>
      <c r="C83" s="137"/>
      <c r="D83" s="137"/>
      <c r="E83" s="137"/>
      <c r="F83" s="137"/>
      <c r="G83" s="137"/>
      <c r="H83" s="137"/>
      <c r="I83" s="137"/>
      <c r="J83" s="137"/>
      <c r="K83" s="137"/>
      <c r="L83" s="137"/>
    </row>
    <row r="84" spans="1:24" ht="12" customHeight="1" x14ac:dyDescent="0.2">
      <c r="A84" s="136" t="s">
        <v>180</v>
      </c>
      <c r="B84" s="136"/>
      <c r="C84" s="136"/>
      <c r="D84" s="136"/>
      <c r="E84" s="136"/>
      <c r="F84" s="136"/>
      <c r="G84" s="136"/>
      <c r="H84" s="136"/>
      <c r="I84" s="136"/>
      <c r="J84" s="136"/>
      <c r="K84" s="136"/>
      <c r="L84" s="136"/>
    </row>
    <row r="85" spans="1:24" ht="12" customHeight="1" x14ac:dyDescent="0.2">
      <c r="A85" s="137"/>
      <c r="B85" s="137"/>
      <c r="C85" s="137"/>
      <c r="D85" s="137"/>
      <c r="E85" s="137"/>
      <c r="F85" s="137"/>
      <c r="G85" s="137"/>
      <c r="H85" s="137"/>
      <c r="I85" s="137"/>
      <c r="J85" s="137"/>
      <c r="K85" s="137"/>
      <c r="L85" s="137"/>
    </row>
    <row r="86" spans="1:24" ht="12" customHeight="1" x14ac:dyDescent="0.2">
      <c r="A86" s="136" t="s">
        <v>181</v>
      </c>
      <c r="B86" s="136"/>
      <c r="C86" s="136"/>
      <c r="D86" s="136"/>
      <c r="E86" s="136"/>
      <c r="F86" s="136"/>
      <c r="G86" s="136"/>
      <c r="H86" s="136"/>
      <c r="I86" s="136"/>
      <c r="J86" s="136"/>
      <c r="K86" s="136"/>
      <c r="L86" s="136"/>
    </row>
    <row r="87" spans="1:24" ht="12" customHeight="1" x14ac:dyDescent="0.2">
      <c r="A87" s="136"/>
      <c r="B87" s="136"/>
      <c r="C87" s="136"/>
      <c r="D87" s="136"/>
      <c r="E87" s="136"/>
      <c r="F87" s="136"/>
      <c r="G87" s="136"/>
      <c r="H87" s="136"/>
      <c r="I87" s="136"/>
      <c r="J87" s="136"/>
      <c r="K87" s="136"/>
      <c r="L87" s="136"/>
      <c r="M87" s="137"/>
      <c r="N87" s="137"/>
      <c r="O87" s="137"/>
      <c r="P87" s="137"/>
      <c r="Q87" s="137"/>
      <c r="R87" s="137"/>
      <c r="S87" s="137"/>
      <c r="T87" s="137"/>
      <c r="U87" s="137"/>
      <c r="V87" s="137"/>
      <c r="W87" s="137"/>
      <c r="X87" s="137"/>
    </row>
    <row r="88" spans="1:24" ht="12" customHeight="1" x14ac:dyDescent="0.2">
      <c r="A88" s="136" t="s">
        <v>194</v>
      </c>
      <c r="B88" s="136"/>
      <c r="C88" s="136"/>
      <c r="D88" s="136"/>
      <c r="E88" s="136"/>
      <c r="F88" s="136"/>
      <c r="G88" s="136"/>
      <c r="H88" s="136"/>
      <c r="I88" s="136"/>
      <c r="J88" s="136"/>
      <c r="K88" s="136"/>
      <c r="L88" s="136"/>
    </row>
    <row r="89" spans="1:24" ht="12" customHeight="1" x14ac:dyDescent="0.2">
      <c r="A89" s="136"/>
      <c r="B89" s="136"/>
      <c r="C89" s="136"/>
      <c r="D89" s="136"/>
      <c r="E89" s="136"/>
      <c r="F89" s="136"/>
      <c r="G89" s="136"/>
      <c r="H89" s="136"/>
      <c r="I89" s="136"/>
      <c r="J89" s="136"/>
      <c r="K89" s="136"/>
      <c r="L89" s="136"/>
    </row>
    <row r="90" spans="1:24" ht="12" customHeight="1" x14ac:dyDescent="0.2">
      <c r="A90" s="136" t="s">
        <v>195</v>
      </c>
      <c r="B90" s="136"/>
      <c r="C90" s="136"/>
      <c r="D90" s="136"/>
      <c r="E90" s="136"/>
      <c r="F90" s="136"/>
      <c r="G90" s="136"/>
      <c r="H90" s="136"/>
      <c r="I90" s="136"/>
      <c r="J90" s="136"/>
      <c r="K90" s="136"/>
      <c r="L90" s="136"/>
    </row>
    <row r="91" spans="1:24" ht="12" customHeight="1" x14ac:dyDescent="0.2">
      <c r="A91" s="136"/>
      <c r="B91" s="136"/>
      <c r="C91" s="136"/>
      <c r="D91" s="136"/>
      <c r="E91" s="136"/>
      <c r="F91" s="136"/>
      <c r="G91" s="136"/>
      <c r="H91" s="136"/>
      <c r="I91" s="136"/>
      <c r="J91" s="136"/>
      <c r="K91" s="136"/>
      <c r="L91" s="136"/>
    </row>
    <row r="92" spans="1:24" ht="12" customHeight="1" x14ac:dyDescent="0.2">
      <c r="A92" s="136" t="s">
        <v>196</v>
      </c>
      <c r="B92" s="136"/>
      <c r="C92" s="136"/>
      <c r="D92" s="136"/>
      <c r="E92" s="136"/>
      <c r="F92" s="136"/>
      <c r="G92" s="136"/>
      <c r="H92" s="136"/>
      <c r="I92" s="136"/>
      <c r="J92" s="136"/>
      <c r="K92" s="136"/>
      <c r="L92" s="136"/>
    </row>
    <row r="93" spans="1:24" ht="12" customHeight="1" x14ac:dyDescent="0.2">
      <c r="A93" s="136"/>
      <c r="B93" s="136"/>
      <c r="C93" s="136"/>
      <c r="D93" s="136"/>
      <c r="E93" s="136"/>
      <c r="F93" s="136"/>
      <c r="G93" s="136"/>
      <c r="H93" s="136"/>
      <c r="I93" s="136"/>
      <c r="J93" s="136"/>
      <c r="K93" s="136"/>
      <c r="L93" s="136"/>
    </row>
    <row r="94" spans="1:24" ht="12" customHeight="1" x14ac:dyDescent="0.2">
      <c r="A94" s="136" t="s">
        <v>206</v>
      </c>
      <c r="B94" s="136"/>
      <c r="C94" s="136"/>
      <c r="D94" s="136"/>
      <c r="E94" s="136"/>
      <c r="F94" s="136"/>
      <c r="G94" s="136"/>
      <c r="H94" s="136"/>
      <c r="I94" s="136"/>
      <c r="J94" s="136"/>
      <c r="K94" s="136"/>
      <c r="L94" s="136"/>
    </row>
    <row r="95" spans="1:24" ht="12" customHeight="1" x14ac:dyDescent="0.2">
      <c r="A95" s="136"/>
      <c r="B95" s="136"/>
      <c r="C95" s="136"/>
      <c r="D95" s="136"/>
      <c r="E95" s="136"/>
      <c r="F95" s="136"/>
      <c r="G95" s="136"/>
      <c r="H95" s="136"/>
      <c r="I95" s="136"/>
      <c r="J95" s="136"/>
      <c r="K95" s="136"/>
      <c r="L95" s="136"/>
    </row>
    <row r="96" spans="1:24" ht="12" customHeight="1" x14ac:dyDescent="0.2">
      <c r="A96" s="136" t="s">
        <v>207</v>
      </c>
      <c r="B96" s="136"/>
      <c r="C96" s="136"/>
      <c r="D96" s="136"/>
      <c r="E96" s="136"/>
      <c r="F96" s="136"/>
      <c r="G96" s="136"/>
      <c r="H96" s="136"/>
      <c r="I96" s="136"/>
      <c r="J96" s="136"/>
      <c r="K96" s="136"/>
      <c r="L96" s="136"/>
    </row>
    <row r="97" spans="1:12" ht="12" customHeight="1" x14ac:dyDescent="0.2">
      <c r="A97" s="136"/>
      <c r="B97" s="136"/>
      <c r="C97" s="136"/>
      <c r="D97" s="136"/>
      <c r="E97" s="136"/>
      <c r="F97" s="136"/>
      <c r="G97" s="136"/>
      <c r="H97" s="136"/>
      <c r="I97" s="136"/>
      <c r="J97" s="136"/>
      <c r="K97" s="136"/>
      <c r="L97" s="136"/>
    </row>
    <row r="98" spans="1:12" ht="12" customHeight="1" x14ac:dyDescent="0.2">
      <c r="A98" s="136" t="s">
        <v>208</v>
      </c>
      <c r="B98" s="136"/>
      <c r="C98" s="136"/>
      <c r="D98" s="136"/>
      <c r="E98" s="136"/>
      <c r="F98" s="136"/>
      <c r="G98" s="136"/>
      <c r="H98" s="136"/>
      <c r="I98" s="136"/>
      <c r="J98" s="136"/>
      <c r="K98" s="136"/>
      <c r="L98" s="136"/>
    </row>
    <row r="99" spans="1:12" ht="12" customHeight="1" x14ac:dyDescent="0.2">
      <c r="A99" s="137"/>
      <c r="B99" s="137"/>
      <c r="C99" s="137"/>
      <c r="D99" s="137"/>
      <c r="E99" s="137"/>
      <c r="F99" s="137"/>
      <c r="G99" s="137"/>
      <c r="H99" s="137"/>
      <c r="I99" s="137"/>
      <c r="J99" s="137"/>
      <c r="K99" s="137"/>
      <c r="L99" s="137"/>
    </row>
    <row r="100" spans="1:12" ht="12" customHeight="1" x14ac:dyDescent="0.2">
      <c r="A100" s="136" t="s">
        <v>234</v>
      </c>
      <c r="B100" s="136"/>
      <c r="C100" s="136"/>
      <c r="D100" s="136"/>
      <c r="E100" s="136"/>
      <c r="F100" s="136"/>
      <c r="G100" s="136"/>
      <c r="H100" s="136"/>
      <c r="I100" s="136"/>
      <c r="J100" s="136"/>
      <c r="K100" s="136"/>
      <c r="L100" s="136"/>
    </row>
    <row r="101" spans="1:12" ht="12" customHeight="1" x14ac:dyDescent="0.2">
      <c r="A101" s="137"/>
      <c r="B101" s="137"/>
      <c r="C101" s="137"/>
      <c r="D101" s="137"/>
      <c r="E101" s="137"/>
      <c r="F101" s="137"/>
      <c r="G101" s="137"/>
      <c r="H101" s="137"/>
      <c r="I101" s="137"/>
      <c r="J101" s="137"/>
      <c r="K101" s="137"/>
      <c r="L101" s="137"/>
    </row>
    <row r="102" spans="1:12" ht="12" customHeight="1" x14ac:dyDescent="0.2">
      <c r="A102" s="136" t="s">
        <v>235</v>
      </c>
      <c r="B102" s="136"/>
      <c r="C102" s="136"/>
      <c r="D102" s="136"/>
      <c r="E102" s="136"/>
      <c r="F102" s="136"/>
      <c r="G102" s="136"/>
      <c r="H102" s="136"/>
      <c r="I102" s="136"/>
      <c r="J102" s="136"/>
      <c r="K102" s="136"/>
      <c r="L102" s="136"/>
    </row>
    <row r="103" spans="1:12" ht="12" customHeight="1" x14ac:dyDescent="0.2">
      <c r="A103" s="137"/>
      <c r="B103" s="137"/>
      <c r="C103" s="137"/>
      <c r="D103" s="137"/>
      <c r="E103" s="137"/>
      <c r="F103" s="137"/>
      <c r="G103" s="137"/>
      <c r="H103" s="137"/>
      <c r="I103" s="137"/>
      <c r="J103" s="137"/>
      <c r="K103" s="137"/>
      <c r="L103" s="137"/>
    </row>
    <row r="104" spans="1:12" ht="12" customHeight="1" x14ac:dyDescent="0.2">
      <c r="A104" s="136" t="s">
        <v>236</v>
      </c>
      <c r="B104" s="136"/>
      <c r="C104" s="136"/>
      <c r="D104" s="136"/>
      <c r="E104" s="136"/>
      <c r="F104" s="136"/>
      <c r="G104" s="136"/>
      <c r="H104" s="136"/>
      <c r="I104" s="136"/>
      <c r="J104" s="136"/>
      <c r="K104" s="136"/>
      <c r="L104" s="136"/>
    </row>
    <row r="105" spans="1:12" ht="12" customHeight="1" x14ac:dyDescent="0.2">
      <c r="A105" s="137"/>
      <c r="B105" s="137"/>
      <c r="C105" s="137"/>
      <c r="D105" s="137"/>
      <c r="E105" s="137"/>
      <c r="F105" s="137"/>
      <c r="G105" s="137"/>
      <c r="H105" s="137"/>
      <c r="I105" s="137"/>
      <c r="J105" s="137"/>
      <c r="K105" s="137"/>
      <c r="L105" s="137"/>
    </row>
    <row r="106" spans="1:12" ht="12" customHeight="1" x14ac:dyDescent="0.2">
      <c r="A106" s="136" t="s">
        <v>237</v>
      </c>
      <c r="B106" s="136"/>
      <c r="C106" s="136"/>
      <c r="D106" s="136"/>
      <c r="E106" s="136"/>
      <c r="F106" s="136"/>
      <c r="G106" s="136"/>
      <c r="H106" s="136"/>
      <c r="I106" s="136"/>
      <c r="J106" s="136"/>
      <c r="K106" s="136"/>
      <c r="L106" s="136"/>
    </row>
    <row r="107" spans="1:12" ht="12" customHeight="1" x14ac:dyDescent="0.2">
      <c r="A107" s="137"/>
      <c r="B107" s="137"/>
      <c r="C107" s="137"/>
      <c r="D107" s="137"/>
      <c r="E107" s="137"/>
      <c r="F107" s="137"/>
      <c r="G107" s="137"/>
      <c r="H107" s="137"/>
      <c r="I107" s="137"/>
      <c r="J107" s="137"/>
      <c r="K107" s="137"/>
      <c r="L107" s="137"/>
    </row>
    <row r="108" spans="1:12" ht="12" customHeight="1" x14ac:dyDescent="0.2">
      <c r="A108" s="136" t="s">
        <v>215</v>
      </c>
      <c r="B108" s="136"/>
      <c r="C108" s="136"/>
      <c r="D108" s="136"/>
      <c r="E108" s="136"/>
      <c r="F108" s="136"/>
      <c r="G108" s="136"/>
      <c r="H108" s="136"/>
      <c r="I108" s="136"/>
      <c r="J108" s="136"/>
      <c r="K108" s="136"/>
      <c r="L108" s="136"/>
    </row>
    <row r="109" spans="1:12" ht="12" customHeight="1" x14ac:dyDescent="0.2">
      <c r="A109" s="137"/>
      <c r="B109" s="137"/>
      <c r="C109" s="137"/>
      <c r="D109" s="137"/>
      <c r="E109" s="137"/>
      <c r="F109" s="137"/>
      <c r="G109" s="137"/>
      <c r="H109" s="137"/>
      <c r="I109" s="137"/>
      <c r="J109" s="137"/>
      <c r="K109" s="137"/>
      <c r="L109" s="137"/>
    </row>
    <row r="110" spans="1:12" ht="12" customHeight="1" x14ac:dyDescent="0.2">
      <c r="A110" s="136" t="s">
        <v>217</v>
      </c>
      <c r="B110" s="136"/>
      <c r="C110" s="136"/>
      <c r="D110" s="136"/>
      <c r="E110" s="136"/>
      <c r="F110" s="136"/>
      <c r="G110" s="136"/>
      <c r="H110" s="136"/>
      <c r="I110" s="136"/>
      <c r="J110" s="136"/>
      <c r="K110" s="136"/>
      <c r="L110" s="136"/>
    </row>
    <row r="111" spans="1:12" ht="12" customHeight="1" x14ac:dyDescent="0.2">
      <c r="A111" s="137"/>
      <c r="B111" s="137"/>
      <c r="C111" s="137"/>
      <c r="D111" s="137"/>
      <c r="E111" s="137"/>
      <c r="F111" s="137"/>
      <c r="G111" s="137"/>
      <c r="H111" s="137"/>
      <c r="I111" s="137"/>
      <c r="J111" s="137"/>
      <c r="K111" s="137"/>
      <c r="L111" s="137"/>
    </row>
    <row r="112" spans="1:12" ht="12" customHeight="1" x14ac:dyDescent="0.2">
      <c r="A112" s="136" t="s">
        <v>238</v>
      </c>
      <c r="B112" s="136"/>
      <c r="C112" s="136"/>
      <c r="D112" s="136"/>
      <c r="E112" s="136"/>
      <c r="F112" s="136"/>
      <c r="G112" s="136"/>
      <c r="H112" s="136"/>
      <c r="I112" s="136"/>
      <c r="J112" s="136"/>
      <c r="K112" s="136"/>
      <c r="L112" s="136"/>
    </row>
    <row r="113" spans="1:12" ht="12" customHeight="1" x14ac:dyDescent="0.2">
      <c r="A113" s="137"/>
      <c r="B113" s="137"/>
      <c r="C113" s="137"/>
      <c r="D113" s="137"/>
      <c r="E113" s="137"/>
      <c r="F113" s="137"/>
      <c r="G113" s="137"/>
      <c r="H113" s="137"/>
      <c r="I113" s="137"/>
      <c r="J113" s="137"/>
      <c r="K113" s="137"/>
      <c r="L113" s="137"/>
    </row>
    <row r="114" spans="1:12" ht="12" customHeight="1" x14ac:dyDescent="0.2">
      <c r="A114" s="136" t="s">
        <v>239</v>
      </c>
      <c r="B114" s="136"/>
      <c r="C114" s="136"/>
      <c r="D114" s="136"/>
      <c r="E114" s="136"/>
      <c r="F114" s="136"/>
      <c r="G114" s="136"/>
      <c r="H114" s="136"/>
      <c r="I114" s="136"/>
      <c r="J114" s="136"/>
      <c r="K114" s="136"/>
      <c r="L114" s="136"/>
    </row>
    <row r="115" spans="1:12" ht="12" customHeight="1" x14ac:dyDescent="0.2">
      <c r="A115" s="137"/>
      <c r="B115" s="137"/>
      <c r="C115" s="137"/>
      <c r="D115" s="137"/>
      <c r="E115" s="137"/>
      <c r="F115" s="137"/>
      <c r="G115" s="137"/>
      <c r="H115" s="137"/>
      <c r="I115" s="137"/>
      <c r="J115" s="137"/>
      <c r="K115" s="137"/>
      <c r="L115" s="137"/>
    </row>
    <row r="116" spans="1:12" ht="12" customHeight="1" x14ac:dyDescent="0.2">
      <c r="A116" s="136" t="s">
        <v>240</v>
      </c>
      <c r="B116" s="136"/>
      <c r="C116" s="136"/>
      <c r="D116" s="136"/>
      <c r="E116" s="136"/>
      <c r="F116" s="136"/>
      <c r="G116" s="136"/>
      <c r="H116" s="136"/>
      <c r="I116" s="136"/>
      <c r="J116" s="136"/>
      <c r="K116" s="136"/>
      <c r="L116" s="136"/>
    </row>
    <row r="117" spans="1:12" ht="12" customHeight="1" x14ac:dyDescent="0.2">
      <c r="A117" s="137"/>
      <c r="B117" s="137"/>
      <c r="C117" s="137"/>
      <c r="D117" s="137"/>
      <c r="E117" s="137"/>
      <c r="F117" s="137"/>
      <c r="G117" s="137"/>
      <c r="H117" s="137"/>
      <c r="I117" s="137"/>
      <c r="J117" s="137"/>
      <c r="K117" s="137"/>
      <c r="L117" s="137"/>
    </row>
    <row r="118" spans="1:12" ht="12" customHeight="1" x14ac:dyDescent="0.2">
      <c r="A118" s="136" t="s">
        <v>241</v>
      </c>
      <c r="B118" s="136"/>
      <c r="C118" s="136"/>
      <c r="D118" s="136"/>
      <c r="E118" s="136"/>
      <c r="F118" s="136"/>
      <c r="G118" s="136"/>
      <c r="H118" s="136"/>
      <c r="I118" s="136"/>
      <c r="J118" s="136"/>
      <c r="K118" s="136"/>
      <c r="L118" s="136"/>
    </row>
    <row r="119" spans="1:12" ht="12" customHeight="1" x14ac:dyDescent="0.2">
      <c r="A119" s="137"/>
      <c r="B119" s="137"/>
      <c r="C119" s="137"/>
      <c r="D119" s="137"/>
      <c r="E119" s="137"/>
      <c r="F119" s="137"/>
      <c r="G119" s="137"/>
      <c r="H119" s="137"/>
      <c r="I119" s="137"/>
      <c r="J119" s="137"/>
      <c r="K119" s="137"/>
      <c r="L119" s="137"/>
    </row>
    <row r="120" spans="1:12" ht="12" customHeight="1" x14ac:dyDescent="0.2">
      <c r="A120" s="136" t="s">
        <v>242</v>
      </c>
      <c r="B120" s="136"/>
      <c r="C120" s="136"/>
      <c r="D120" s="136"/>
      <c r="E120" s="136"/>
      <c r="F120" s="136"/>
      <c r="G120" s="136"/>
      <c r="H120" s="136"/>
      <c r="I120" s="136"/>
      <c r="J120" s="136"/>
      <c r="K120" s="136"/>
      <c r="L120" s="136"/>
    </row>
    <row r="121" spans="1:12" ht="12" customHeight="1" x14ac:dyDescent="0.2">
      <c r="A121" s="137"/>
      <c r="B121" s="137"/>
      <c r="C121" s="137"/>
      <c r="D121" s="137"/>
      <c r="E121" s="137"/>
      <c r="F121" s="137"/>
      <c r="G121" s="137"/>
      <c r="H121" s="137"/>
      <c r="I121" s="137"/>
      <c r="J121" s="137"/>
      <c r="K121" s="137"/>
      <c r="L121" s="137"/>
    </row>
    <row r="122" spans="1:12" ht="12" customHeight="1" x14ac:dyDescent="0.2">
      <c r="A122" s="136" t="s">
        <v>243</v>
      </c>
      <c r="B122" s="136"/>
      <c r="C122" s="136"/>
      <c r="D122" s="136"/>
      <c r="E122" s="136"/>
      <c r="F122" s="136"/>
      <c r="G122" s="136"/>
      <c r="H122" s="136"/>
      <c r="I122" s="136"/>
      <c r="J122" s="136"/>
      <c r="K122" s="136"/>
      <c r="L122" s="136"/>
    </row>
    <row r="123" spans="1:12" ht="12" customHeight="1" x14ac:dyDescent="0.2">
      <c r="A123" s="137"/>
      <c r="B123" s="137"/>
      <c r="C123" s="137"/>
      <c r="D123" s="137"/>
      <c r="E123" s="137"/>
      <c r="F123" s="137"/>
      <c r="G123" s="137"/>
      <c r="H123" s="137"/>
      <c r="I123" s="137"/>
      <c r="J123" s="137"/>
      <c r="K123" s="137"/>
      <c r="L123" s="137"/>
    </row>
    <row r="124" spans="1:12" ht="12" customHeight="1" x14ac:dyDescent="0.2">
      <c r="A124" s="136" t="s">
        <v>244</v>
      </c>
      <c r="B124" s="136"/>
      <c r="C124" s="136"/>
      <c r="D124" s="136"/>
      <c r="E124" s="136"/>
      <c r="F124" s="136"/>
      <c r="G124" s="136"/>
      <c r="H124" s="136"/>
      <c r="I124" s="136"/>
      <c r="J124" s="136"/>
      <c r="K124" s="136"/>
      <c r="L124" s="136"/>
    </row>
    <row r="125" spans="1:12" ht="12" customHeight="1" x14ac:dyDescent="0.2">
      <c r="A125" s="137"/>
      <c r="B125" s="137"/>
      <c r="C125" s="137"/>
      <c r="D125" s="137"/>
      <c r="E125" s="137"/>
      <c r="F125" s="137"/>
      <c r="G125" s="137"/>
      <c r="H125" s="137"/>
      <c r="I125" s="137"/>
      <c r="J125" s="137"/>
      <c r="K125" s="137"/>
      <c r="L125" s="137"/>
    </row>
    <row r="126" spans="1:12" ht="12" customHeight="1" x14ac:dyDescent="0.2">
      <c r="A126" s="136" t="s">
        <v>245</v>
      </c>
      <c r="B126" s="136"/>
      <c r="C126" s="136"/>
      <c r="D126" s="136"/>
      <c r="E126" s="136"/>
      <c r="F126" s="136"/>
      <c r="G126" s="136"/>
      <c r="H126" s="136"/>
      <c r="I126" s="136"/>
      <c r="J126" s="136"/>
      <c r="K126" s="136"/>
      <c r="L126" s="136"/>
    </row>
    <row r="127" spans="1:12" ht="12" customHeight="1" x14ac:dyDescent="0.2">
      <c r="A127" s="137"/>
      <c r="B127" s="137"/>
      <c r="C127" s="137"/>
      <c r="D127" s="137"/>
      <c r="E127" s="137"/>
      <c r="F127" s="137"/>
      <c r="G127" s="137"/>
      <c r="H127" s="137"/>
      <c r="I127" s="137"/>
      <c r="J127" s="137"/>
      <c r="K127" s="137"/>
      <c r="L127" s="137"/>
    </row>
    <row r="128" spans="1:12" ht="12" customHeight="1" x14ac:dyDescent="0.2">
      <c r="A128" s="136" t="s">
        <v>246</v>
      </c>
      <c r="B128" s="136"/>
      <c r="C128" s="136"/>
      <c r="D128" s="136"/>
      <c r="E128" s="136"/>
      <c r="F128" s="136"/>
      <c r="G128" s="136"/>
      <c r="H128" s="136"/>
      <c r="I128" s="136"/>
      <c r="J128" s="136"/>
      <c r="K128" s="136"/>
      <c r="L128" s="136"/>
    </row>
    <row r="129" spans="1:12" ht="12" customHeight="1" x14ac:dyDescent="0.2">
      <c r="A129" s="137"/>
      <c r="B129" s="137"/>
      <c r="C129" s="137"/>
      <c r="D129" s="137"/>
      <c r="E129" s="137"/>
      <c r="F129" s="137"/>
      <c r="G129" s="137"/>
      <c r="H129" s="137"/>
      <c r="I129" s="137"/>
      <c r="J129" s="137"/>
      <c r="K129" s="137"/>
      <c r="L129" s="137"/>
    </row>
    <row r="130" spans="1:12" ht="12" customHeight="1" x14ac:dyDescent="0.2">
      <c r="A130" s="136" t="s">
        <v>247</v>
      </c>
      <c r="B130" s="136"/>
      <c r="C130" s="136"/>
      <c r="D130" s="136"/>
      <c r="E130" s="136"/>
      <c r="F130" s="136"/>
      <c r="G130" s="136"/>
      <c r="H130" s="136"/>
      <c r="I130" s="136"/>
      <c r="J130" s="136"/>
      <c r="K130" s="136"/>
      <c r="L130" s="136"/>
    </row>
    <row r="131" spans="1:12" ht="12" customHeight="1" x14ac:dyDescent="0.2">
      <c r="A131" s="137"/>
      <c r="B131" s="137"/>
      <c r="C131" s="137"/>
      <c r="D131" s="137"/>
      <c r="E131" s="137"/>
      <c r="F131" s="137"/>
      <c r="G131" s="137"/>
      <c r="H131" s="137"/>
      <c r="I131" s="137"/>
      <c r="J131" s="137"/>
      <c r="K131" s="137"/>
      <c r="L131" s="137"/>
    </row>
    <row r="132" spans="1:12" ht="12" customHeight="1" x14ac:dyDescent="0.2">
      <c r="A132" s="136" t="s">
        <v>248</v>
      </c>
      <c r="B132" s="136"/>
      <c r="C132" s="136"/>
      <c r="D132" s="136"/>
      <c r="E132" s="136"/>
      <c r="F132" s="136"/>
      <c r="G132" s="136"/>
      <c r="H132" s="136"/>
      <c r="I132" s="136"/>
      <c r="J132" s="136"/>
      <c r="K132" s="136"/>
      <c r="L132" s="136"/>
    </row>
    <row r="133" spans="1:12" ht="12" customHeight="1" x14ac:dyDescent="0.2">
      <c r="A133" s="137"/>
      <c r="B133" s="137"/>
      <c r="C133" s="137"/>
      <c r="D133" s="137"/>
      <c r="E133" s="137"/>
      <c r="F133" s="137"/>
      <c r="G133" s="137"/>
      <c r="H133" s="137"/>
      <c r="I133" s="137"/>
      <c r="J133" s="137"/>
      <c r="K133" s="137"/>
      <c r="L133" s="137"/>
    </row>
    <row r="134" spans="1:12" ht="12.75" x14ac:dyDescent="0.2">
      <c r="A134" s="136" t="s">
        <v>249</v>
      </c>
      <c r="B134" s="136"/>
      <c r="C134" s="136"/>
      <c r="D134" s="136"/>
      <c r="E134" s="136"/>
      <c r="F134" s="136"/>
      <c r="G134" s="136"/>
      <c r="H134" s="136"/>
      <c r="I134" s="136"/>
      <c r="J134" s="136"/>
      <c r="K134" s="136"/>
      <c r="L134" s="136"/>
    </row>
    <row r="135" spans="1:12" x14ac:dyDescent="0.2">
      <c r="A135" s="137"/>
      <c r="B135" s="137"/>
      <c r="C135" s="137"/>
      <c r="D135" s="137"/>
      <c r="E135" s="137"/>
      <c r="F135" s="137"/>
      <c r="G135" s="137"/>
      <c r="H135" s="137"/>
      <c r="I135" s="137"/>
      <c r="J135" s="137"/>
      <c r="K135" s="137"/>
      <c r="L135" s="137"/>
    </row>
    <row r="136" spans="1:12" x14ac:dyDescent="0.2">
      <c r="A136" s="74" t="s">
        <v>100</v>
      </c>
      <c r="B136" s="74"/>
      <c r="C136" s="74"/>
      <c r="D136" s="74"/>
      <c r="E136" s="74"/>
      <c r="F136" s="74"/>
      <c r="G136" s="74"/>
      <c r="H136" s="74"/>
      <c r="I136" s="74"/>
      <c r="J136" s="74"/>
      <c r="K136" s="74"/>
      <c r="L136" s="74"/>
    </row>
    <row r="137" spans="1:12" ht="12" x14ac:dyDescent="0.2">
      <c r="A137" s="138" t="s">
        <v>101</v>
      </c>
      <c r="B137" s="138"/>
      <c r="C137" s="138"/>
      <c r="D137" s="138"/>
      <c r="E137" s="138"/>
      <c r="F137" s="138"/>
      <c r="G137" s="138"/>
      <c r="H137" s="138"/>
      <c r="I137" s="138"/>
      <c r="J137" s="138"/>
      <c r="K137" s="138"/>
      <c r="L137" s="138"/>
    </row>
    <row r="138" spans="1:12" ht="12" x14ac:dyDescent="0.2">
      <c r="A138" s="139" t="s">
        <v>102</v>
      </c>
      <c r="B138" s="138"/>
      <c r="C138" s="138"/>
      <c r="D138" s="138"/>
      <c r="E138" s="138"/>
      <c r="F138" s="138"/>
      <c r="G138" s="138"/>
      <c r="H138" s="138"/>
      <c r="I138" s="138"/>
      <c r="J138" s="138"/>
      <c r="K138" s="138"/>
      <c r="L138" s="138"/>
    </row>
    <row r="139" spans="1:12" ht="12" x14ac:dyDescent="0.2">
      <c r="A139" s="75"/>
      <c r="B139" s="75"/>
      <c r="C139" s="75"/>
      <c r="D139" s="75"/>
      <c r="E139" s="75"/>
      <c r="F139" s="75"/>
      <c r="G139" s="75"/>
      <c r="H139" s="75"/>
      <c r="I139" s="75"/>
      <c r="J139" s="75"/>
      <c r="K139" s="75"/>
      <c r="L139" s="75"/>
    </row>
  </sheetData>
  <mergeCells count="136">
    <mergeCell ref="A134:L134"/>
    <mergeCell ref="A135:L135"/>
    <mergeCell ref="A128:L128"/>
    <mergeCell ref="A129:L129"/>
    <mergeCell ref="A130:L130"/>
    <mergeCell ref="A115:L115"/>
    <mergeCell ref="A116:L116"/>
    <mergeCell ref="A117:L117"/>
    <mergeCell ref="A118:L118"/>
    <mergeCell ref="A120:L120"/>
    <mergeCell ref="A121:L121"/>
    <mergeCell ref="A122:L122"/>
    <mergeCell ref="A123:L123"/>
    <mergeCell ref="A124:L124"/>
    <mergeCell ref="A9:L9"/>
    <mergeCell ref="A10:L10"/>
    <mergeCell ref="A11:L11"/>
    <mergeCell ref="A12:L12"/>
    <mergeCell ref="A13:L13"/>
    <mergeCell ref="A14:L14"/>
    <mergeCell ref="A1:L1"/>
    <mergeCell ref="A3:L3"/>
    <mergeCell ref="A4:L4"/>
    <mergeCell ref="A6:L6"/>
    <mergeCell ref="A7:L7"/>
    <mergeCell ref="A8:L8"/>
    <mergeCell ref="A20:L20"/>
    <mergeCell ref="A21:L21"/>
    <mergeCell ref="A22:L22"/>
    <mergeCell ref="A23:L23"/>
    <mergeCell ref="A24:L24"/>
    <mergeCell ref="A15:L15"/>
    <mergeCell ref="A16:L16"/>
    <mergeCell ref="A17:L17"/>
    <mergeCell ref="A18:L18"/>
    <mergeCell ref="A19:L19"/>
    <mergeCell ref="A31:L31"/>
    <mergeCell ref="A32:L32"/>
    <mergeCell ref="A33:L33"/>
    <mergeCell ref="A34:L34"/>
    <mergeCell ref="A35:L35"/>
    <mergeCell ref="A36:L36"/>
    <mergeCell ref="A25:L25"/>
    <mergeCell ref="A26:L26"/>
    <mergeCell ref="A27:L27"/>
    <mergeCell ref="A28:L28"/>
    <mergeCell ref="A29:L29"/>
    <mergeCell ref="A30:L30"/>
    <mergeCell ref="A37:L37"/>
    <mergeCell ref="A38:L38"/>
    <mergeCell ref="A45:L45"/>
    <mergeCell ref="A46:L46"/>
    <mergeCell ref="A47:L47"/>
    <mergeCell ref="A48:L48"/>
    <mergeCell ref="A40:L40"/>
    <mergeCell ref="A39:L39"/>
    <mergeCell ref="A41:L41"/>
    <mergeCell ref="A42:L42"/>
    <mergeCell ref="A43:L43"/>
    <mergeCell ref="A44:L44"/>
    <mergeCell ref="A49:L49"/>
    <mergeCell ref="A50:L50"/>
    <mergeCell ref="A57:L57"/>
    <mergeCell ref="A58:L58"/>
    <mergeCell ref="A59:L59"/>
    <mergeCell ref="A60:L60"/>
    <mergeCell ref="A53:L53"/>
    <mergeCell ref="A51:L51"/>
    <mergeCell ref="A52:L52"/>
    <mergeCell ref="A54:L54"/>
    <mergeCell ref="A55:L55"/>
    <mergeCell ref="A56:L56"/>
    <mergeCell ref="M87:X87"/>
    <mergeCell ref="A81:L81"/>
    <mergeCell ref="A82:L82"/>
    <mergeCell ref="A83:L83"/>
    <mergeCell ref="A84:L84"/>
    <mergeCell ref="A85:L85"/>
    <mergeCell ref="A86:L86"/>
    <mergeCell ref="A75:L75"/>
    <mergeCell ref="A76:L76"/>
    <mergeCell ref="A77:L77"/>
    <mergeCell ref="A78:L78"/>
    <mergeCell ref="A79:L79"/>
    <mergeCell ref="A80:L80"/>
    <mergeCell ref="A137:L137"/>
    <mergeCell ref="A138:L138"/>
    <mergeCell ref="A100:L100"/>
    <mergeCell ref="A101:L101"/>
    <mergeCell ref="A119:L119"/>
    <mergeCell ref="A102:L102"/>
    <mergeCell ref="A103:L103"/>
    <mergeCell ref="A104:L104"/>
    <mergeCell ref="A105:L105"/>
    <mergeCell ref="A106:L106"/>
    <mergeCell ref="A107:L107"/>
    <mergeCell ref="A108:L108"/>
    <mergeCell ref="A109:L109"/>
    <mergeCell ref="A110:L110"/>
    <mergeCell ref="A111:L111"/>
    <mergeCell ref="A112:L112"/>
    <mergeCell ref="A113:L113"/>
    <mergeCell ref="A114:L114"/>
    <mergeCell ref="A125:L125"/>
    <mergeCell ref="A126:L126"/>
    <mergeCell ref="A127:L127"/>
    <mergeCell ref="A131:L131"/>
    <mergeCell ref="A132:L132"/>
    <mergeCell ref="A133:L133"/>
    <mergeCell ref="A99:L99"/>
    <mergeCell ref="A87:L87"/>
    <mergeCell ref="A88:L88"/>
    <mergeCell ref="A89:L89"/>
    <mergeCell ref="A91:L91"/>
    <mergeCell ref="A92:L92"/>
    <mergeCell ref="A90:L90"/>
    <mergeCell ref="A98:L98"/>
    <mergeCell ref="A93:L93"/>
    <mergeCell ref="A94:L94"/>
    <mergeCell ref="A96:L96"/>
    <mergeCell ref="A97:L97"/>
    <mergeCell ref="A95:L95"/>
    <mergeCell ref="A72:L72"/>
    <mergeCell ref="A73:L73"/>
    <mergeCell ref="A74:L74"/>
    <mergeCell ref="A67:L67"/>
    <mergeCell ref="A68:L68"/>
    <mergeCell ref="A69:L69"/>
    <mergeCell ref="A70:L70"/>
    <mergeCell ref="A71:L71"/>
    <mergeCell ref="A61:L61"/>
    <mergeCell ref="A62:L62"/>
    <mergeCell ref="A63:L63"/>
    <mergeCell ref="A64:L64"/>
    <mergeCell ref="A65:L65"/>
    <mergeCell ref="A66:L66"/>
  </mergeCells>
  <hyperlinks>
    <hyperlink ref="A138" r:id="rId1"/>
    <hyperlink ref="A12:L12" location="'Q2_Tab 1'!A1" display="Tableau 1 : évolution de l'activité, au cours du mois de mai, par rapport à ce qui était prévu (% de salariés)"/>
    <hyperlink ref="A14:L14" location="'Q2_Tab 2'!A1" display="Tableau 2 : évolution de l'activité, au cours du mois de mai, par rapport à ce qui était prévu par taille d'entreprise (% de salariés)"/>
    <hyperlink ref="A16:L16" location="'Q2_Tab 3'!A1" display="Tableau 3 : évolution de l'activité, au cours du mois de mai, par rapport à ce qui était prévu par secteur d'activité (% de salariés)"/>
    <hyperlink ref="A18:L18" location="'Q3_Tab 4'!A1" display="Tableau 4 : cause de la diminution de l'activité (% de salariés)"/>
    <hyperlink ref="A20:L20" location="'Q4_Tab 5'!A1" display="Tableau 5 : Principales difficultés rencontrées depuis le début de la crise sanitaire, au 30 juin (% de salariés)"/>
    <hyperlink ref="A22:L22" location="'Q4_Tab 6'!A1" display="Tableau 6 : Principales difficultés rencontrées depuis le début de la crise sanitaire, au 30 juin par taille d'entreprise (% de salariés)"/>
    <hyperlink ref="A24:L24" location="'Q4_Tab 7'!A1" display="Tableau 8 : Principales difficultés rencontrées depuis le début de la crise sanitaire, au 30 juin par secteur d'activité (% de salariés)"/>
    <hyperlink ref="A26:L26" location="'Q5_Tab 8'!A1" display="Tableau 8 : évolution des effectifs du fait de la crise sanitaire (% de salariés)"/>
    <hyperlink ref="A28:L28" location="'Q5_Tab 9'!A1" display="Tableau 9 : évolution des effectifs du fait de la crise sanitaire par taille d'entreprise (% de salariés)"/>
    <hyperlink ref="A30:L30" location="'Q5_Tab 10'!A1" display="Tableau 10 : évolution des effectifs du fait de la crise sanitaire par secteurs (% de salariés)"/>
    <hyperlink ref="A32:L32" location="'Q6_Tab 11'!A1" display="Tableau 11 : causes de la diminution des effectifs"/>
    <hyperlink ref="A34:L34" location="'Q7_Tab 12'!A1" display="Tableau 12 : Salariés en chômage partiel"/>
    <hyperlink ref="A36:L36" location="'Q7_Tab 13'!A1" display="Tableau 14 : Salariés en chômage partiel, par taille d'entreprise"/>
    <hyperlink ref="A38:L38" location="'Q7_Tab 14'!A1" display="Tableau 14 : Salariés en chômage partiel, secteur d'activité"/>
    <hyperlink ref="A46:L46" location="'Q11_Tab 18'!A1" display="Tableau 18 : principale raison du recours du chômage partiel (% de salariés)"/>
    <hyperlink ref="A48:L48" location="'Q11_Tab 19'!A1" display="Tableau 19 : principale raison du recours du chômage partiel par taille d'entreprise (% de salariés)"/>
    <hyperlink ref="A50:L50" location="'Q11_Tab 20'!A1" display="Tableau 20 : principale raison du recours du chômage partiel par secteur d'activité (% de salariés)"/>
    <hyperlink ref="A58:L58" location="'Q15_Tab 24'!A1" display="Tableau 24 : Répartition des salariés (% de salariés)"/>
    <hyperlink ref="A60:L60" location="'Q15_Tab 25-30'!A1" display="Tableau 25 : Répartition des salariés par taille d'entreprise (% de salariés) - Travail sur site ou sur chantiers"/>
    <hyperlink ref="A62:L62" location="'Q15_Tab 25-30'!A1" display="Tableau 26 : Répartition des salariés par taille d'entreprise (% de salariés) - Télétravail ou travail à distance"/>
    <hyperlink ref="A64:L64" location="'Q15_Tab 25-30'!A1" display="Tableau 27 : Répartition des salariés par taille d'entreprise (% de salariés) - Chômage partiel complet"/>
    <hyperlink ref="A66:L66" location="'Q15_Tab 25-30'!A1" display="Tableau 28 : Répartition des salariés par taille d'entreprise (% de salariés) - Arrêt maladie"/>
    <hyperlink ref="A68:L68" location="'Q15_Tab 25-30'!A1" display="Tableau 29 : Répartition des salariés par taille d'entreprise (% de salariés) - Congés"/>
    <hyperlink ref="A70:L70" location="'Q15_Tab 25-30'!A1" display="Tableau 30 : Répartition des salariés par taille d'entreprise (% de salariés) - Exercice du droit de retrait"/>
    <hyperlink ref="A72:L72" location="'Q15_Tab 31-36'!A1" display="Tableau 31 : Répartition des salariés par secteur d'activité (% de salariés) - Travail sur site ou sur chantiers"/>
    <hyperlink ref="A74:L74" location="'Q15_Tab 31-36'!A1" display="Tableau 32 : Répartition des salariés par secteur d'activité (% de salariés) - Télétravail ou travail à distance"/>
    <hyperlink ref="A76:L76" location="'Q15_Tab 31-36'!A1" display="Tableau 33 : Répartition des salariés par secteur d'activité (% de salariés) - Chômage partiel complet"/>
    <hyperlink ref="A78:L78" location="'Q15_Tab 31-36'!A1" display="Tableau 34 : Répartition des salariés par secteur d'activité (% de salariés) - Arrêt maladie"/>
    <hyperlink ref="A80:L80" location="'Q15_Tab 31-36'!A1" display="Tableau 35 : Répartition des salariés par secteur d'activité (% de salariés) - Congés"/>
    <hyperlink ref="A82:L82" location="'Q15_Tab 31-36'!A1" display="Tableau 36 : Répartition des salariés par secteur d'activité (% de salariés) - Exercice du droit de retrait"/>
    <hyperlink ref="A84:L84" location="'Q15_Tab 37'!A1" display="Tableau 37 : Répartition des salariés, selon différentes situations, par taille d'entreprise"/>
    <hyperlink ref="A86:L86" location="'Q15_Tab 38'!A1" display="Tableau 38 : Répartition des salariés, selon différentes situations, par secteur d'activité"/>
    <hyperlink ref="A100:L100" location="'Q18_Tab 45'!A1" display="Tableau 45 : Effet des mesures de protection sanitaire (% de salariés)"/>
    <hyperlink ref="A102:L102" location="'Q18_Tab 46'!A1" display="Tableau 46 : Effet des mesures de protection sanitaire, par taille d'entreprise (% de salariés)"/>
    <hyperlink ref="A104:L104" location="'Q18_Tab 47'!A1" display="Tableau 47 : Effet des mesures de protection sanitaire, par secteur d'activité (% de salariés)"/>
    <hyperlink ref="A106:L106" location="'Q19_Tab 48'!A1" display="Tableau 48 : Modification de l'offre en réponse à la crise sanitaire, au mois de juin (% de salariés)"/>
    <hyperlink ref="A108:L108" location="'Q19_Tab 49'!A1" display="Tableau 49 : Réponse &quot;Oui&quot; à la modification de l'offre en réponse à la crise sanitaire, au mois de juin, par taille d'entreprise (% de salariés)"/>
    <hyperlink ref="A110:L110" location="'Q19_Tab 50'!A1" display="Tableau 50 : Réponse &quot;Oui&quot; à la modification de l'offre en réponse à la crise sanitaire, au mois de juin, par secteur d'activité (% de salariés)"/>
    <hyperlink ref="A112:L112" location="'Q20_Tab 51'!A1" display="Tableau 51 : Adaptation de la logistique commerciale en réponse à la crise sanitaire (% de salariés)"/>
    <hyperlink ref="A114:L114" location="'Q20_Tab 52'!A1" display="Tableau 52 : Adaptation de la logistique commerciale en réponse à la crise sanitaire par taille d'entreprise (% de salariés)"/>
    <hyperlink ref="A116:L116" location="'Q20_Tab 53'!A1" display="Tableau 53 : Adaptation de la logistique commerciale en réponse à la crise sanitaire par secteur d'activité (% de salariés)"/>
    <hyperlink ref="A118:L118" location="'Q21_Tab 54'!A1" display="Tableau 54 : Adaptation de la logistique commerciale (% de salariés)"/>
    <hyperlink ref="A120:L120" location="'Q21_Tab 55'!A1" display="Tableau 55 : Adaptation de la logistique commerciale, par taille d'entreprise (% de salariés)"/>
    <hyperlink ref="A122:L122" location="'Q21_Tab 56'!A1" display="Tableau 56 : Adaptation de la logistique commerciale, par secteur d'activité (% de salariés)"/>
    <hyperlink ref="A124:L124" location="'Q22_Tab 57'!A1" display="Tableau 57 : Reprise de l'activité (% de salariés)"/>
    <hyperlink ref="A126:L126" location="'Q22_Tab 58'!A1" display="Tableau 58 : Reprise de l'activité par taille d'entreprise (% de salariés)"/>
    <hyperlink ref="A128:L128" location="'Q22_Tab 59'!A1" display="Tableau 59 : Reprise de l'activité par secteur d'activité (% de salariés)"/>
    <hyperlink ref="A130:L130" location="'Q23_Tab 60'!A1" display="Tableau 60 : Principales difficultés anticipées pour la reprise de l'activité (% de salariés)"/>
    <hyperlink ref="A132:L132" location="'Q23_Tab 61'!A1" display="Tableau 61 : Principales difficultés anticipées pour la reprise de l'activité par taille d'entreprise (% de salariés)"/>
    <hyperlink ref="A134:L134" location="'Q23_Tab 62'!A1" display="Tableau 62 : Principales difficultés anticipées pour la reprise de l'activité par secteur d'activité (% de salariés)"/>
    <hyperlink ref="A40:L40" location="Q8_Tab15!A1" display="Tableau 15 : salariés en chômage partiel pour garde d'enfants ou fragilité"/>
    <hyperlink ref="A42:L42" location="Q8_Tab16!A1" display="Tableau 16 : salariés en chômage partiel pour garde d'enfants ou fragilité, par taille d'entreprise"/>
    <hyperlink ref="A43:L44" location="Q8_Tab16!A1" display="Tableau 16 : salariés en chômage partiel pour garde d'enfants ou fragilité, par taille d'entreprise"/>
    <hyperlink ref="A44:L44" location="'Q8_Tab 17'!A1" display="Tableau 17 : salariés en chômage partiel pour garde d'enfants ou fragilité, par secteur d'activité"/>
    <hyperlink ref="A52:L52" location="Q12_Tab21!A1" display="Tableau 21 : recours à la formation pour les salariés en chômage partiel (% de salariés)"/>
    <hyperlink ref="A54:L54" location="Q12_Tab22!A1" display="Tableau 22 : recours à la formation pour les salariés en chômage partiel, par taille d'entreprise (% de salariés)"/>
    <hyperlink ref="A56:L56" location="Q12_Tab23!A1" display="Tableau 23 : recours à la formation pour les salariés en chômage partiel par secteur d'activité (% de salariés)"/>
    <hyperlink ref="A87:L92" location="'Q15_Tab 38'!A1" display="Tableau 38 : Répartition des salariés, selon différentes situations, par secteur d'activité"/>
    <hyperlink ref="A88:L88" location="'Q16_Tab 39'!A1" display="Tableau 39 : Accords d'entreprise conclus (% de salariés)"/>
    <hyperlink ref="A90:L90" location="'Q16_Tab 40'!A1" display="Tableau 40 : Accords d'entreprise conclus, par taille d'entreprise (% de salariés)"/>
    <hyperlink ref="A92:L92" location="'Q16_Tab 41'!A1" display="Tableau 41 : Accords d'entreprise conclus, par secteur d'activité (% de salariés)"/>
    <hyperlink ref="A93:L98" location="'Q15_Tab 38'!A1" display="Tableau 38 : Répartition des salariés, selon différentes situations, par secteur d'activité"/>
    <hyperlink ref="A94:L94" location="'Q17_Tab 42'!A1" display="Tableau 42 : Différentes dispositions prises sur le temps de travail (% de salariés)"/>
    <hyperlink ref="A96:L96" location="'Q17_Tab 43'!A1" display="Tableau 43 : Différentes dispositions prises sur le temps de travail, par taille d'entreprise (% de salariés)"/>
    <hyperlink ref="A98:L98" location="'Q17_Tab 44'!A1" display="Tableau 44 : Différentes dispositions prises sur le temps de travail, par secteur d'activité (% de salariés)"/>
  </hyperlinks>
  <pageMargins left="0.38" right="0.17" top="0.17" bottom="0.17" header="0.4921259845" footer="0.4921259845"/>
  <pageSetup paperSize="9" scale="93"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M14"/>
  <sheetViews>
    <sheetView workbookViewId="0"/>
  </sheetViews>
  <sheetFormatPr baseColWidth="10" defaultRowHeight="15" x14ac:dyDescent="0.25"/>
  <cols>
    <col min="1" max="1" width="89.5703125" style="71" customWidth="1"/>
    <col min="2" max="16384" width="11.42578125" style="71"/>
  </cols>
  <sheetData>
    <row r="1" spans="1:13" x14ac:dyDescent="0.25">
      <c r="A1" s="4" t="s">
        <v>127</v>
      </c>
      <c r="G1" s="76" t="s">
        <v>111</v>
      </c>
    </row>
    <row r="3" spans="1:13" x14ac:dyDescent="0.25">
      <c r="A3" s="71" t="s">
        <v>130</v>
      </c>
    </row>
    <row r="4" spans="1:13" x14ac:dyDescent="0.25">
      <c r="B4" s="33" t="s">
        <v>44</v>
      </c>
      <c r="C4" s="34" t="s">
        <v>8</v>
      </c>
      <c r="D4" s="31" t="s">
        <v>9</v>
      </c>
      <c r="E4" s="31" t="s">
        <v>10</v>
      </c>
      <c r="F4" s="31" t="s">
        <v>11</v>
      </c>
      <c r="G4" s="31" t="s">
        <v>12</v>
      </c>
      <c r="H4" s="32" t="s">
        <v>13</v>
      </c>
    </row>
    <row r="5" spans="1:13" x14ac:dyDescent="0.25">
      <c r="A5" s="5" t="s">
        <v>48</v>
      </c>
      <c r="B5" s="35">
        <f>HLOOKUP("q5mod1",[1]data_rep!$1:$1048576,VLOOKUP("EnsEns",[1]data_rep!$A$1:$B$200,2,FALSE),FALSE)</f>
        <v>13.5</v>
      </c>
      <c r="C5" s="18">
        <f>HLOOKUP("q5mod1",[1]data_rep!$1:$1048576,VLOOKUP("1Ens",[1]data_rep!$A$1:$B$200,2,FALSE),FALSE)</f>
        <v>10.6</v>
      </c>
      <c r="D5" s="18">
        <f>HLOOKUP("q5mod1",[1]data_rep!$1:$1048576,VLOOKUP("2Ens",[1]data_rep!$A$1:$B$200,2,FALSE),FALSE)</f>
        <v>13.3</v>
      </c>
      <c r="E5" s="18">
        <f>HLOOKUP("q5mod1",[1]data_rep!$1:$1048576,VLOOKUP("3Ens",[1]data_rep!$A$1:$B$200,2,FALSE),FALSE)</f>
        <v>13.5</v>
      </c>
      <c r="F5" s="18">
        <f>HLOOKUP("q5mod1",[1]data_rep!$1:$1048576,VLOOKUP("4Ens",[1]data_rep!$A$1:$B$200,2,FALSE),FALSE)</f>
        <v>13.600000000000001</v>
      </c>
      <c r="G5" s="18">
        <f>HLOOKUP("q5mod1",[1]data_rep!$1:$1048576,VLOOKUP("5Ens",[1]data_rep!$A$1:$B$200,2,FALSE),FALSE)</f>
        <v>14.099999999999998</v>
      </c>
      <c r="H5" s="13">
        <f>HLOOKUP("q5mod1",[1]data_rep!$1:$1048576,VLOOKUP("6Ens",[1]data_rep!$A$1:$B$200,2,FALSE),FALSE)</f>
        <v>14.099999999999998</v>
      </c>
    </row>
    <row r="6" spans="1:13" x14ac:dyDescent="0.25">
      <c r="A6" s="6" t="s">
        <v>49</v>
      </c>
      <c r="B6" s="36">
        <f>HLOOKUP("q5mod2",[1]data_rep!$1:$1048576,VLOOKUP("EnsEns",[1]data_rep!$A$1:$B$200,2,FALSE),FALSE)</f>
        <v>78.900000000000006</v>
      </c>
      <c r="C6" s="18">
        <f>HLOOKUP("q5mod2",[1]data_rep!$1:$1048576,VLOOKUP("1Ens",[1]data_rep!$A$1:$B$200,2,FALSE),FALSE)</f>
        <v>85.6</v>
      </c>
      <c r="D6" s="18">
        <f>HLOOKUP("q5mod2",[1]data_rep!$1:$1048576,VLOOKUP("2Ens",[1]data_rep!$A$1:$B$200,2,FALSE),FALSE)</f>
        <v>80.800000000000011</v>
      </c>
      <c r="E6" s="18">
        <f>HLOOKUP("q5mod2",[1]data_rep!$1:$1048576,VLOOKUP("3Ens",[1]data_rep!$A$1:$B$200,2,FALSE),FALSE)</f>
        <v>79.400000000000006</v>
      </c>
      <c r="F6" s="18">
        <f>HLOOKUP("q5mod2",[1]data_rep!$1:$1048576,VLOOKUP("4Ens",[1]data_rep!$A$1:$B$200,2,FALSE),FALSE)</f>
        <v>78.600000000000009</v>
      </c>
      <c r="G6" s="18">
        <f>HLOOKUP("q5mod2",[1]data_rep!$1:$1048576,VLOOKUP("5Ens",[1]data_rep!$A$1:$B$200,2,FALSE),FALSE)</f>
        <v>78.5</v>
      </c>
      <c r="H6" s="13">
        <f>HLOOKUP("q5mod2",[1]data_rep!$1:$1048576,VLOOKUP("6Ens",[1]data_rep!$A$1:$B$200,2,FALSE),FALSE)</f>
        <v>76.2</v>
      </c>
    </row>
    <row r="7" spans="1:13" x14ac:dyDescent="0.25">
      <c r="A7" s="7" t="s">
        <v>50</v>
      </c>
      <c r="B7" s="37">
        <f>HLOOKUP("q5mod3",[1]data_rep!$1:$1048576,VLOOKUP("EnsEns",[1]data_rep!$A$1:$B$200,2,FALSE),FALSE)</f>
        <v>7.7</v>
      </c>
      <c r="C7" s="20">
        <f>HLOOKUP("q5mod3",[1]data_rep!$1:$1048576,VLOOKUP("1Ens",[1]data_rep!$A$1:$B$200,2,FALSE),FALSE)</f>
        <v>3.9</v>
      </c>
      <c r="D7" s="20">
        <f>HLOOKUP("q5mod3",[1]data_rep!$1:$1048576,VLOOKUP("2Ens",[1]data_rep!$A$1:$B$200,2,FALSE),FALSE)</f>
        <v>5.8000000000000007</v>
      </c>
      <c r="E7" s="20">
        <f>HLOOKUP("q5mod3",[1]data_rep!$1:$1048576,VLOOKUP("3Ens",[1]data_rep!$A$1:$B$200,2,FALSE),FALSE)</f>
        <v>7.1</v>
      </c>
      <c r="F7" s="20">
        <f>HLOOKUP("q5mod3",[1]data_rep!$1:$1048576,VLOOKUP("4Ens",[1]data_rep!$A$1:$B$200,2,FALSE),FALSE)</f>
        <v>7.7</v>
      </c>
      <c r="G7" s="20">
        <f>HLOOKUP("q5mod3",[1]data_rep!$1:$1048576,VLOOKUP("5Ens",[1]data_rep!$A$1:$B$200,2,FALSE),FALSE)</f>
        <v>7.5</v>
      </c>
      <c r="H7" s="14">
        <f>HLOOKUP("q5mod3",[1]data_rep!$1:$1048576,VLOOKUP("6Ens",[1]data_rep!$A$1:$B$200,2,FALSE),FALSE)</f>
        <v>9.7000000000000011</v>
      </c>
    </row>
    <row r="8" spans="1:13" x14ac:dyDescent="0.25">
      <c r="A8" s="8" t="s">
        <v>116</v>
      </c>
    </row>
    <row r="9" spans="1:13" x14ac:dyDescent="0.25">
      <c r="A9" s="8" t="s">
        <v>7</v>
      </c>
    </row>
    <row r="12" spans="1:13" x14ac:dyDescent="0.25">
      <c r="G12" s="69"/>
      <c r="H12" s="69"/>
      <c r="I12" s="69"/>
      <c r="J12" s="69"/>
      <c r="K12" s="69"/>
      <c r="L12" s="69"/>
      <c r="M12" s="69"/>
    </row>
    <row r="13" spans="1:13" x14ac:dyDescent="0.25">
      <c r="G13" s="69"/>
      <c r="H13" s="69"/>
      <c r="I13" s="69"/>
      <c r="J13" s="69"/>
      <c r="K13" s="69"/>
      <c r="L13" s="69"/>
      <c r="M13" s="69"/>
    </row>
    <row r="14" spans="1:13" x14ac:dyDescent="0.25">
      <c r="G14" s="69"/>
      <c r="H14" s="69"/>
      <c r="I14" s="69"/>
      <c r="J14" s="69"/>
      <c r="K14" s="69"/>
      <c r="L14" s="69"/>
      <c r="M14" s="69"/>
    </row>
  </sheetData>
  <hyperlinks>
    <hyperlink ref="G1" location="'Lisez-moi'!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3"/>
  <sheetViews>
    <sheetView workbookViewId="0">
      <selection activeCell="A3" sqref="A3"/>
    </sheetView>
  </sheetViews>
  <sheetFormatPr baseColWidth="10" defaultRowHeight="15" x14ac:dyDescent="0.25"/>
  <cols>
    <col min="1" max="1" width="89.5703125" customWidth="1"/>
  </cols>
  <sheetData>
    <row r="1" spans="1:8" x14ac:dyDescent="0.25">
      <c r="A1" s="4" t="s">
        <v>127</v>
      </c>
      <c r="G1" s="76" t="s">
        <v>111</v>
      </c>
    </row>
    <row r="3" spans="1:8" x14ac:dyDescent="0.25">
      <c r="A3" s="3" t="s">
        <v>132</v>
      </c>
      <c r="B3" s="3"/>
      <c r="C3" s="3"/>
      <c r="D3" s="3"/>
    </row>
    <row r="4" spans="1:8" ht="124.5" x14ac:dyDescent="0.25">
      <c r="A4" s="3"/>
      <c r="B4" s="57" t="s">
        <v>48</v>
      </c>
      <c r="C4" s="58" t="s">
        <v>49</v>
      </c>
      <c r="D4" s="65" t="s">
        <v>50</v>
      </c>
      <c r="E4" s="71"/>
    </row>
    <row r="5" spans="1:8" x14ac:dyDescent="0.25">
      <c r="A5" s="42" t="s">
        <v>0</v>
      </c>
      <c r="B5" s="56">
        <v>13.5</v>
      </c>
      <c r="C5" s="54">
        <v>78.900000000000006</v>
      </c>
      <c r="D5" s="55">
        <v>7.7</v>
      </c>
      <c r="E5" s="71"/>
      <c r="F5" s="69"/>
      <c r="G5" s="69"/>
      <c r="H5" s="69"/>
    </row>
    <row r="6" spans="1:8" x14ac:dyDescent="0.25">
      <c r="A6" s="6" t="s">
        <v>51</v>
      </c>
      <c r="B6" s="22">
        <v>4.8</v>
      </c>
      <c r="C6" s="18">
        <v>93.600000000000009</v>
      </c>
      <c r="D6" s="13">
        <v>1.6</v>
      </c>
      <c r="E6" s="71"/>
      <c r="F6" s="69"/>
      <c r="G6" s="69"/>
      <c r="H6" s="69"/>
    </row>
    <row r="7" spans="1:8" x14ac:dyDescent="0.25">
      <c r="A7" s="6" t="s">
        <v>16</v>
      </c>
      <c r="B7" s="22">
        <v>9.1</v>
      </c>
      <c r="C7" s="18">
        <v>84.2</v>
      </c>
      <c r="D7" s="13">
        <v>6.7</v>
      </c>
      <c r="E7" s="71"/>
      <c r="F7" s="69"/>
      <c r="G7" s="69"/>
      <c r="H7" s="69"/>
    </row>
    <row r="8" spans="1:8" x14ac:dyDescent="0.25">
      <c r="A8" s="6" t="s">
        <v>17</v>
      </c>
      <c r="B8" s="22">
        <v>0</v>
      </c>
      <c r="C8" s="18">
        <v>100</v>
      </c>
      <c r="D8" s="13">
        <v>0</v>
      </c>
      <c r="E8" s="71"/>
      <c r="F8" s="69"/>
      <c r="G8" s="69"/>
      <c r="H8" s="69"/>
    </row>
    <row r="9" spans="1:8" x14ac:dyDescent="0.25">
      <c r="A9" s="6" t="s">
        <v>18</v>
      </c>
      <c r="B9" s="22">
        <v>16.100000000000001</v>
      </c>
      <c r="C9" s="18">
        <v>81.699999999999989</v>
      </c>
      <c r="D9" s="13">
        <v>2.1999999999999997</v>
      </c>
      <c r="E9" s="71"/>
      <c r="F9" s="69"/>
      <c r="G9" s="69"/>
      <c r="H9" s="69"/>
    </row>
    <row r="10" spans="1:8" x14ac:dyDescent="0.25">
      <c r="A10" s="6" t="s">
        <v>19</v>
      </c>
      <c r="B10" s="22">
        <v>11.1</v>
      </c>
      <c r="C10" s="18">
        <v>88.1</v>
      </c>
      <c r="D10" s="13">
        <v>0.89999999999999991</v>
      </c>
      <c r="E10" s="71"/>
      <c r="F10" s="69"/>
      <c r="G10" s="69"/>
      <c r="H10" s="69"/>
    </row>
    <row r="11" spans="1:8" x14ac:dyDescent="0.25">
      <c r="A11" s="6" t="s">
        <v>20</v>
      </c>
      <c r="B11" s="22">
        <v>14.2</v>
      </c>
      <c r="C11" s="18">
        <v>80.600000000000009</v>
      </c>
      <c r="D11" s="13">
        <v>5.3</v>
      </c>
      <c r="E11" s="71"/>
      <c r="F11" s="69"/>
      <c r="G11" s="69"/>
      <c r="H11" s="69"/>
    </row>
    <row r="12" spans="1:8" x14ac:dyDescent="0.25">
      <c r="A12" s="6" t="s">
        <v>21</v>
      </c>
      <c r="B12" s="22">
        <v>9.8000000000000007</v>
      </c>
      <c r="C12" s="18">
        <v>84.399999999999991</v>
      </c>
      <c r="D12" s="13">
        <v>5.8000000000000007</v>
      </c>
      <c r="E12" s="71"/>
      <c r="F12" s="69"/>
      <c r="G12" s="69"/>
      <c r="H12" s="69"/>
    </row>
    <row r="13" spans="1:8" x14ac:dyDescent="0.25">
      <c r="A13" s="6" t="s">
        <v>22</v>
      </c>
      <c r="B13" s="22">
        <v>11.3</v>
      </c>
      <c r="C13" s="18">
        <v>72</v>
      </c>
      <c r="D13" s="13">
        <v>16.8</v>
      </c>
      <c r="E13" s="71"/>
      <c r="F13" s="69"/>
      <c r="G13" s="69"/>
      <c r="H13" s="69"/>
    </row>
    <row r="14" spans="1:8" x14ac:dyDescent="0.25">
      <c r="A14" s="6" t="s">
        <v>23</v>
      </c>
      <c r="B14" s="22">
        <v>19</v>
      </c>
      <c r="C14" s="18">
        <v>76.2</v>
      </c>
      <c r="D14" s="13">
        <v>4.8</v>
      </c>
      <c r="E14" s="71"/>
      <c r="F14" s="69"/>
      <c r="G14" s="69"/>
      <c r="H14" s="69"/>
    </row>
    <row r="15" spans="1:8" x14ac:dyDescent="0.25">
      <c r="A15" s="6" t="s">
        <v>24</v>
      </c>
      <c r="B15" s="22">
        <v>28.1</v>
      </c>
      <c r="C15" s="18">
        <v>68.2</v>
      </c>
      <c r="D15" s="13">
        <v>3.8</v>
      </c>
      <c r="E15" s="71"/>
      <c r="F15" s="69"/>
      <c r="G15" s="69"/>
      <c r="H15" s="69"/>
    </row>
    <row r="16" spans="1:8" x14ac:dyDescent="0.25">
      <c r="A16" s="6" t="s">
        <v>25</v>
      </c>
      <c r="B16" s="22">
        <v>13.4</v>
      </c>
      <c r="C16" s="18">
        <v>81.399999999999991</v>
      </c>
      <c r="D16" s="13">
        <v>5.2</v>
      </c>
      <c r="E16" s="71"/>
      <c r="F16" s="69"/>
      <c r="G16" s="69"/>
      <c r="H16" s="69"/>
    </row>
    <row r="17" spans="1:8" x14ac:dyDescent="0.25">
      <c r="A17" s="6" t="s">
        <v>26</v>
      </c>
      <c r="B17" s="22">
        <v>5.2</v>
      </c>
      <c r="C17" s="18">
        <v>90.2</v>
      </c>
      <c r="D17" s="13">
        <v>4.5</v>
      </c>
      <c r="E17" s="71"/>
      <c r="F17" s="69"/>
      <c r="G17" s="69"/>
      <c r="H17" s="69"/>
    </row>
    <row r="18" spans="1:8" x14ac:dyDescent="0.25">
      <c r="A18" s="6" t="s">
        <v>27</v>
      </c>
      <c r="B18" s="22">
        <v>6.1</v>
      </c>
      <c r="C18" s="18">
        <v>85.3</v>
      </c>
      <c r="D18" s="13">
        <v>8.6</v>
      </c>
      <c r="E18" s="71"/>
      <c r="F18" s="69"/>
      <c r="G18" s="69"/>
      <c r="H18" s="69"/>
    </row>
    <row r="19" spans="1:8" x14ac:dyDescent="0.25">
      <c r="A19" s="6" t="s">
        <v>28</v>
      </c>
      <c r="B19" s="22">
        <v>19</v>
      </c>
      <c r="C19" s="18">
        <v>72.899999999999991</v>
      </c>
      <c r="D19" s="13">
        <v>8.1</v>
      </c>
      <c r="E19" s="71"/>
      <c r="F19" s="69"/>
      <c r="G19" s="69"/>
      <c r="H19" s="69"/>
    </row>
    <row r="20" spans="1:8" x14ac:dyDescent="0.25">
      <c r="A20" s="6" t="s">
        <v>29</v>
      </c>
      <c r="B20" s="22">
        <v>9.1999999999999993</v>
      </c>
      <c r="C20" s="18">
        <v>82.399999999999991</v>
      </c>
      <c r="D20" s="13">
        <v>8.4</v>
      </c>
      <c r="E20" s="71"/>
      <c r="F20" s="69"/>
      <c r="G20" s="69"/>
      <c r="H20" s="69"/>
    </row>
    <row r="21" spans="1:8" x14ac:dyDescent="0.25">
      <c r="A21" s="7" t="s">
        <v>30</v>
      </c>
      <c r="B21" s="23">
        <v>16.3</v>
      </c>
      <c r="C21" s="20">
        <v>80.800000000000011</v>
      </c>
      <c r="D21" s="14">
        <v>2.8000000000000003</v>
      </c>
      <c r="E21" s="71"/>
      <c r="F21" s="69"/>
      <c r="G21" s="69"/>
      <c r="H21" s="69"/>
    </row>
    <row r="22" spans="1:8" x14ac:dyDescent="0.25">
      <c r="A22" s="8" t="s">
        <v>116</v>
      </c>
      <c r="E22" s="71"/>
    </row>
    <row r="23" spans="1:8" x14ac:dyDescent="0.25">
      <c r="A23" s="8" t="s">
        <v>7</v>
      </c>
      <c r="E23" s="71"/>
    </row>
  </sheetData>
  <hyperlinks>
    <hyperlink ref="G1" location="'Lisez-moi'!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G11"/>
  <sheetViews>
    <sheetView workbookViewId="0">
      <selection activeCell="M32" sqref="M32"/>
    </sheetView>
  </sheetViews>
  <sheetFormatPr baseColWidth="10" defaultRowHeight="15" x14ac:dyDescent="0.25"/>
  <cols>
    <col min="1" max="1" width="44.7109375" customWidth="1"/>
  </cols>
  <sheetData>
    <row r="1" spans="1:7" x14ac:dyDescent="0.25">
      <c r="A1" s="4" t="s">
        <v>133</v>
      </c>
      <c r="F1" s="76" t="s">
        <v>111</v>
      </c>
    </row>
    <row r="3" spans="1:7" x14ac:dyDescent="0.25">
      <c r="A3" s="3" t="s">
        <v>134</v>
      </c>
      <c r="D3" s="71"/>
      <c r="E3" s="71"/>
    </row>
    <row r="4" spans="1:7" x14ac:dyDescent="0.25">
      <c r="A4" s="5" t="s">
        <v>52</v>
      </c>
      <c r="B4" s="12">
        <v>50.8</v>
      </c>
      <c r="D4" s="71"/>
      <c r="E4" s="71"/>
    </row>
    <row r="5" spans="1:7" x14ac:dyDescent="0.25">
      <c r="A5" s="6" t="s">
        <v>53</v>
      </c>
      <c r="B5" s="13">
        <v>58.599999999999994</v>
      </c>
      <c r="D5" s="71"/>
      <c r="E5" s="71"/>
    </row>
    <row r="6" spans="1:7" x14ac:dyDescent="0.25">
      <c r="A6" s="6" t="s">
        <v>42</v>
      </c>
      <c r="B6" s="13">
        <v>23.400000000000002</v>
      </c>
      <c r="D6" s="71"/>
      <c r="E6" s="71"/>
    </row>
    <row r="7" spans="1:7" x14ac:dyDescent="0.25">
      <c r="A7" s="6" t="s">
        <v>55</v>
      </c>
      <c r="B7" s="13">
        <v>5.5</v>
      </c>
      <c r="D7" s="71"/>
      <c r="E7" s="71"/>
    </row>
    <row r="8" spans="1:7" x14ac:dyDescent="0.25">
      <c r="A8" s="7" t="s">
        <v>54</v>
      </c>
      <c r="B8" s="14">
        <v>10.199999999999999</v>
      </c>
      <c r="D8" s="71"/>
      <c r="E8" s="71"/>
    </row>
    <row r="9" spans="1:7" x14ac:dyDescent="0.25">
      <c r="A9" s="8" t="s">
        <v>135</v>
      </c>
      <c r="B9" s="71"/>
      <c r="C9" s="71"/>
      <c r="D9" s="71"/>
      <c r="E9" s="71"/>
      <c r="F9" s="71"/>
      <c r="G9" s="71"/>
    </row>
    <row r="10" spans="1:7" x14ac:dyDescent="0.25">
      <c r="A10" s="8" t="s">
        <v>116</v>
      </c>
      <c r="B10" s="71"/>
      <c r="C10" s="71"/>
      <c r="D10" s="71"/>
      <c r="E10" s="71"/>
      <c r="F10" s="71"/>
      <c r="G10" s="71"/>
    </row>
    <row r="11" spans="1:7" x14ac:dyDescent="0.25">
      <c r="A11" s="8" t="s">
        <v>7</v>
      </c>
      <c r="B11" s="71"/>
      <c r="C11" s="71"/>
      <c r="D11" s="71"/>
      <c r="E11" s="71"/>
      <c r="F11" s="71"/>
      <c r="G11" s="71"/>
    </row>
  </sheetData>
  <sortState ref="A4:B8">
    <sortCondition descending="1" ref="B4:B8"/>
  </sortState>
  <hyperlinks>
    <hyperlink ref="F1" location="'Lisez-moi'!A1" display="Retour au sommair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G8"/>
  <sheetViews>
    <sheetView workbookViewId="0">
      <selection activeCell="G1" sqref="G1"/>
    </sheetView>
  </sheetViews>
  <sheetFormatPr baseColWidth="10" defaultRowHeight="15" x14ac:dyDescent="0.25"/>
  <cols>
    <col min="1" max="1" width="90" style="71" customWidth="1"/>
    <col min="2" max="8" width="11.42578125" style="71"/>
    <col min="9" max="9" width="1.28515625" style="71" customWidth="1"/>
    <col min="10" max="15" width="9.85546875" style="71" customWidth="1"/>
    <col min="16" max="16384" width="11.42578125" style="71"/>
  </cols>
  <sheetData>
    <row r="1" spans="1:7" x14ac:dyDescent="0.25">
      <c r="A1" s="4" t="s">
        <v>136</v>
      </c>
      <c r="G1" s="76" t="s">
        <v>111</v>
      </c>
    </row>
    <row r="3" spans="1:7" x14ac:dyDescent="0.25">
      <c r="A3" s="71" t="s">
        <v>138</v>
      </c>
    </row>
    <row r="4" spans="1:7" x14ac:dyDescent="0.25">
      <c r="A4" s="5" t="s">
        <v>56</v>
      </c>
      <c r="B4" s="27">
        <f>HLOOKUP("q7mod1",[1]data_rep!$1:$1048576,VLOOKUP("EnsEns",[1]data_rep!$A$1:$B$200,2,FALSE),FALSE)</f>
        <v>57.699999999999996</v>
      </c>
    </row>
    <row r="5" spans="1:7" x14ac:dyDescent="0.25">
      <c r="A5" s="7" t="s">
        <v>57</v>
      </c>
      <c r="B5" s="29">
        <f>HLOOKUP("q7mod2",[1]data_rep!$1:$1048576,VLOOKUP("EnsEns",[1]data_rep!$A$1:$B$200,2,FALSE),FALSE)</f>
        <v>42.3</v>
      </c>
    </row>
    <row r="6" spans="1:7" x14ac:dyDescent="0.25">
      <c r="A6" s="8" t="s">
        <v>137</v>
      </c>
    </row>
    <row r="7" spans="1:7" x14ac:dyDescent="0.25">
      <c r="A7" s="8" t="s">
        <v>116</v>
      </c>
    </row>
    <row r="8" spans="1:7" x14ac:dyDescent="0.25">
      <c r="A8" s="8" t="s">
        <v>7</v>
      </c>
    </row>
  </sheetData>
  <hyperlinks>
    <hyperlink ref="G1" location="'Lisez-moi'!A1" display="Retour au sommair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M11"/>
  <sheetViews>
    <sheetView workbookViewId="0">
      <selection activeCell="I34" sqref="I34"/>
    </sheetView>
  </sheetViews>
  <sheetFormatPr baseColWidth="10" defaultRowHeight="15" x14ac:dyDescent="0.25"/>
  <cols>
    <col min="1" max="1" width="90" style="71" customWidth="1"/>
    <col min="2" max="16384" width="11.42578125" style="71"/>
  </cols>
  <sheetData>
    <row r="1" spans="1:13" x14ac:dyDescent="0.25">
      <c r="A1" s="4" t="s">
        <v>136</v>
      </c>
      <c r="G1" s="76" t="s">
        <v>111</v>
      </c>
    </row>
    <row r="3" spans="1:13" x14ac:dyDescent="0.25">
      <c r="A3" s="71" t="s">
        <v>139</v>
      </c>
    </row>
    <row r="4" spans="1:13" x14ac:dyDescent="0.25">
      <c r="B4" s="33" t="s">
        <v>44</v>
      </c>
      <c r="C4" s="34" t="s">
        <v>8</v>
      </c>
      <c r="D4" s="31" t="s">
        <v>9</v>
      </c>
      <c r="E4" s="31" t="s">
        <v>10</v>
      </c>
      <c r="F4" s="31" t="s">
        <v>11</v>
      </c>
      <c r="G4" s="31" t="s">
        <v>12</v>
      </c>
      <c r="H4" s="32" t="s">
        <v>13</v>
      </c>
    </row>
    <row r="5" spans="1:13" x14ac:dyDescent="0.25">
      <c r="A5" s="5" t="s">
        <v>56</v>
      </c>
      <c r="B5" s="27">
        <v>57.699999999999996</v>
      </c>
      <c r="C5" s="18">
        <v>41.8</v>
      </c>
      <c r="D5" s="18">
        <v>52.300000000000004</v>
      </c>
      <c r="E5" s="18">
        <v>57.199999999999996</v>
      </c>
      <c r="F5" s="18">
        <v>63.5</v>
      </c>
      <c r="G5" s="18">
        <v>67.400000000000006</v>
      </c>
      <c r="H5" s="13">
        <v>60.099999999999994</v>
      </c>
    </row>
    <row r="6" spans="1:13" x14ac:dyDescent="0.25">
      <c r="A6" s="7" t="s">
        <v>57</v>
      </c>
      <c r="B6" s="29">
        <v>42.3</v>
      </c>
      <c r="C6" s="20">
        <v>58.199999999999996</v>
      </c>
      <c r="D6" s="20">
        <v>47.699999999999996</v>
      </c>
      <c r="E6" s="20">
        <v>42.8</v>
      </c>
      <c r="F6" s="20">
        <v>36.5</v>
      </c>
      <c r="G6" s="20">
        <v>32.6</v>
      </c>
      <c r="H6" s="14">
        <v>39.900000000000006</v>
      </c>
    </row>
    <row r="7" spans="1:13" x14ac:dyDescent="0.25">
      <c r="A7" s="8" t="s">
        <v>116</v>
      </c>
    </row>
    <row r="8" spans="1:13" x14ac:dyDescent="0.25">
      <c r="A8" s="8" t="s">
        <v>7</v>
      </c>
    </row>
    <row r="10" spans="1:13" x14ac:dyDescent="0.25">
      <c r="G10" s="69"/>
      <c r="H10" s="69"/>
      <c r="I10" s="69"/>
      <c r="J10" s="69"/>
      <c r="K10" s="69"/>
      <c r="L10" s="69"/>
      <c r="M10" s="69"/>
    </row>
    <row r="11" spans="1:13" x14ac:dyDescent="0.25">
      <c r="G11" s="69"/>
      <c r="H11" s="69"/>
      <c r="I11" s="69"/>
      <c r="J11" s="69"/>
      <c r="K11" s="69"/>
      <c r="L11" s="69"/>
      <c r="M11" s="69"/>
    </row>
  </sheetData>
  <hyperlinks>
    <hyperlink ref="G1" location="'Lisez-moi'!A1" display="Retour au sommair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G23"/>
  <sheetViews>
    <sheetView workbookViewId="0">
      <selection activeCell="B12" sqref="B12"/>
    </sheetView>
  </sheetViews>
  <sheetFormatPr baseColWidth="10" defaultRowHeight="15" x14ac:dyDescent="0.25"/>
  <cols>
    <col min="1" max="1" width="90" customWidth="1"/>
  </cols>
  <sheetData>
    <row r="1" spans="1:7" s="71" customFormat="1" x14ac:dyDescent="0.25">
      <c r="A1" s="4" t="s">
        <v>136</v>
      </c>
      <c r="G1" s="76" t="s">
        <v>111</v>
      </c>
    </row>
    <row r="3" spans="1:7" x14ac:dyDescent="0.25">
      <c r="A3" s="3" t="s">
        <v>140</v>
      </c>
    </row>
    <row r="4" spans="1:7" x14ac:dyDescent="0.25">
      <c r="B4" s="42" t="s">
        <v>56</v>
      </c>
      <c r="C4" s="41" t="s">
        <v>57</v>
      </c>
    </row>
    <row r="5" spans="1:7" x14ac:dyDescent="0.25">
      <c r="A5" s="42" t="s">
        <v>0</v>
      </c>
      <c r="B5" s="23">
        <v>57.699999999999996</v>
      </c>
      <c r="C5" s="14">
        <v>42.3</v>
      </c>
      <c r="E5" s="69"/>
      <c r="F5" s="69"/>
    </row>
    <row r="6" spans="1:7" x14ac:dyDescent="0.25">
      <c r="A6" s="6" t="s">
        <v>51</v>
      </c>
      <c r="B6" s="22">
        <v>25.7</v>
      </c>
      <c r="C6" s="13">
        <v>74.3</v>
      </c>
      <c r="E6" s="69"/>
      <c r="F6" s="69"/>
    </row>
    <row r="7" spans="1:7" x14ac:dyDescent="0.25">
      <c r="A7" s="6" t="s">
        <v>16</v>
      </c>
      <c r="B7" s="22">
        <v>56.999999999999993</v>
      </c>
      <c r="C7" s="13">
        <v>43</v>
      </c>
      <c r="E7" s="69"/>
      <c r="F7" s="69"/>
    </row>
    <row r="8" spans="1:7" x14ac:dyDescent="0.25">
      <c r="A8" s="6" t="s">
        <v>17</v>
      </c>
      <c r="B8" s="132">
        <v>13.700000000000001</v>
      </c>
      <c r="C8" s="135">
        <v>86.3</v>
      </c>
      <c r="E8" s="69"/>
      <c r="F8" s="69"/>
    </row>
    <row r="9" spans="1:7" x14ac:dyDescent="0.25">
      <c r="A9" s="6" t="s">
        <v>18</v>
      </c>
      <c r="B9" s="22">
        <v>73</v>
      </c>
      <c r="C9" s="13">
        <v>27</v>
      </c>
      <c r="E9" s="69"/>
      <c r="F9" s="69"/>
    </row>
    <row r="10" spans="1:7" x14ac:dyDescent="0.25">
      <c r="A10" s="6" t="s">
        <v>19</v>
      </c>
      <c r="B10" s="22">
        <v>92.7</v>
      </c>
      <c r="C10" s="13">
        <v>7.3</v>
      </c>
      <c r="E10" s="69"/>
      <c r="F10" s="69"/>
    </row>
    <row r="11" spans="1:7" x14ac:dyDescent="0.25">
      <c r="A11" s="6" t="s">
        <v>20</v>
      </c>
      <c r="B11" s="22">
        <v>61.3</v>
      </c>
      <c r="C11" s="13">
        <v>38.700000000000003</v>
      </c>
      <c r="E11" s="69"/>
      <c r="F11" s="69"/>
    </row>
    <row r="12" spans="1:7" x14ac:dyDescent="0.25">
      <c r="A12" s="6" t="s">
        <v>21</v>
      </c>
      <c r="B12" s="22">
        <v>52</v>
      </c>
      <c r="C12" s="13">
        <v>48</v>
      </c>
      <c r="E12" s="69"/>
      <c r="F12" s="69"/>
    </row>
    <row r="13" spans="1:7" x14ac:dyDescent="0.25">
      <c r="A13" s="6" t="s">
        <v>22</v>
      </c>
      <c r="B13" s="22">
        <v>58.599999999999994</v>
      </c>
      <c r="C13" s="13">
        <v>41.4</v>
      </c>
      <c r="E13" s="69"/>
      <c r="F13" s="69"/>
    </row>
    <row r="14" spans="1:7" x14ac:dyDescent="0.25">
      <c r="A14" s="6" t="s">
        <v>23</v>
      </c>
      <c r="B14" s="22">
        <v>68.8</v>
      </c>
      <c r="C14" s="13">
        <v>31.2</v>
      </c>
      <c r="E14" s="69"/>
      <c r="F14" s="69"/>
    </row>
    <row r="15" spans="1:7" x14ac:dyDescent="0.25">
      <c r="A15" s="6" t="s">
        <v>24</v>
      </c>
      <c r="B15" s="22">
        <v>85.3</v>
      </c>
      <c r="C15" s="13">
        <v>14.7</v>
      </c>
      <c r="E15" s="69"/>
      <c r="F15" s="69"/>
    </row>
    <row r="16" spans="1:7" x14ac:dyDescent="0.25">
      <c r="A16" s="6" t="s">
        <v>25</v>
      </c>
      <c r="B16" s="22">
        <v>57.9</v>
      </c>
      <c r="C16" s="13">
        <v>42.1</v>
      </c>
      <c r="E16" s="69"/>
      <c r="F16" s="69"/>
    </row>
    <row r="17" spans="1:6" x14ac:dyDescent="0.25">
      <c r="A17" s="6" t="s">
        <v>26</v>
      </c>
      <c r="B17" s="22">
        <v>21.7</v>
      </c>
      <c r="C17" s="13">
        <v>78.3</v>
      </c>
      <c r="E17" s="69"/>
      <c r="F17" s="69"/>
    </row>
    <row r="18" spans="1:6" x14ac:dyDescent="0.25">
      <c r="A18" s="6" t="s">
        <v>27</v>
      </c>
      <c r="B18" s="22">
        <v>43.8</v>
      </c>
      <c r="C18" s="13">
        <v>56.2</v>
      </c>
      <c r="E18" s="69"/>
      <c r="F18" s="69"/>
    </row>
    <row r="19" spans="1:6" x14ac:dyDescent="0.25">
      <c r="A19" s="6" t="s">
        <v>28</v>
      </c>
      <c r="B19" s="22">
        <v>62.8</v>
      </c>
      <c r="C19" s="13">
        <v>37.200000000000003</v>
      </c>
      <c r="E19" s="69"/>
      <c r="F19" s="69"/>
    </row>
    <row r="20" spans="1:6" x14ac:dyDescent="0.25">
      <c r="A20" s="6" t="s">
        <v>29</v>
      </c>
      <c r="B20" s="22">
        <v>47.599999999999994</v>
      </c>
      <c r="C20" s="13">
        <v>52.400000000000006</v>
      </c>
      <c r="E20" s="69"/>
      <c r="F20" s="69"/>
    </row>
    <row r="21" spans="1:6" x14ac:dyDescent="0.25">
      <c r="A21" s="7" t="s">
        <v>30</v>
      </c>
      <c r="B21" s="23">
        <v>63.5</v>
      </c>
      <c r="C21" s="14">
        <v>36.5</v>
      </c>
      <c r="E21" s="69"/>
      <c r="F21" s="69"/>
    </row>
    <row r="22" spans="1:6" x14ac:dyDescent="0.25">
      <c r="A22" s="8" t="s">
        <v>116</v>
      </c>
    </row>
    <row r="23" spans="1:6" x14ac:dyDescent="0.25">
      <c r="A23" s="8" t="s">
        <v>7</v>
      </c>
    </row>
  </sheetData>
  <hyperlinks>
    <hyperlink ref="G1" location="'Lisez-moi'!A1" display="Retour au sommaire"/>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sqref="A1:O1"/>
    </sheetView>
  </sheetViews>
  <sheetFormatPr baseColWidth="10" defaultRowHeight="15" x14ac:dyDescent="0.25"/>
  <cols>
    <col min="1" max="1" width="22.28515625" customWidth="1"/>
  </cols>
  <sheetData>
    <row r="1" spans="1:16" ht="15" customHeight="1" x14ac:dyDescent="0.25">
      <c r="A1" s="147" t="s">
        <v>141</v>
      </c>
      <c r="B1" s="147"/>
      <c r="C1" s="147"/>
      <c r="D1" s="147"/>
      <c r="E1" s="147"/>
      <c r="F1" s="147"/>
      <c r="G1" s="147"/>
      <c r="H1" s="147"/>
      <c r="I1" s="147"/>
      <c r="J1" s="147"/>
      <c r="K1" s="147"/>
      <c r="L1" s="147"/>
      <c r="M1" s="147"/>
      <c r="N1" s="147"/>
      <c r="O1" s="147"/>
      <c r="P1" s="76" t="s">
        <v>111</v>
      </c>
    </row>
    <row r="2" spans="1:16" x14ac:dyDescent="0.25">
      <c r="A2" s="71"/>
      <c r="B2" s="71"/>
    </row>
    <row r="3" spans="1:16" x14ac:dyDescent="0.25">
      <c r="A3" s="71" t="s">
        <v>142</v>
      </c>
      <c r="B3" s="71"/>
    </row>
    <row r="4" spans="1:16" x14ac:dyDescent="0.25">
      <c r="A4" s="5" t="s">
        <v>56</v>
      </c>
      <c r="B4" s="27">
        <f>HLOOKUP("q8mod1",[1]data_rep!$1:$1048576,VLOOKUP("EnsEns",[1]data_rep!$A$1:$B$200,2,FALSE),FALSE)</f>
        <v>68</v>
      </c>
    </row>
    <row r="5" spans="1:16" x14ac:dyDescent="0.25">
      <c r="A5" s="7" t="s">
        <v>57</v>
      </c>
      <c r="B5" s="29">
        <f>HLOOKUP("q8mod2",[1]data_rep!$1:$1048576,VLOOKUP("EnsEns",[1]data_rep!$A$1:$B$200,2,FALSE),FALSE)</f>
        <v>32</v>
      </c>
    </row>
    <row r="6" spans="1:16" x14ac:dyDescent="0.25">
      <c r="A6" s="8" t="s">
        <v>116</v>
      </c>
      <c r="B6" s="71"/>
    </row>
    <row r="7" spans="1:16" x14ac:dyDescent="0.25">
      <c r="A7" s="8" t="s">
        <v>7</v>
      </c>
      <c r="B7" s="71"/>
    </row>
  </sheetData>
  <mergeCells count="1">
    <mergeCell ref="A1:O1"/>
  </mergeCells>
  <hyperlinks>
    <hyperlink ref="P1" location="'Lisez-moi'!A1" display="Retour au sommair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workbookViewId="0">
      <selection activeCell="P21" sqref="P21"/>
    </sheetView>
  </sheetViews>
  <sheetFormatPr baseColWidth="10" defaultRowHeight="15" x14ac:dyDescent="0.25"/>
  <sheetData>
    <row r="1" spans="1:16" s="71" customFormat="1" ht="15" customHeight="1" x14ac:dyDescent="0.25">
      <c r="A1" s="147" t="s">
        <v>141</v>
      </c>
      <c r="B1" s="147"/>
      <c r="C1" s="147"/>
      <c r="D1" s="147"/>
      <c r="E1" s="147"/>
      <c r="F1" s="147"/>
      <c r="G1" s="147"/>
      <c r="H1" s="147"/>
      <c r="I1" s="147"/>
      <c r="J1" s="147"/>
      <c r="K1" s="147"/>
      <c r="L1" s="147"/>
      <c r="M1" s="147"/>
      <c r="N1" s="147"/>
      <c r="O1" s="147"/>
      <c r="P1" s="76" t="s">
        <v>111</v>
      </c>
    </row>
    <row r="3" spans="1:16" x14ac:dyDescent="0.25">
      <c r="A3" s="71" t="s">
        <v>144</v>
      </c>
      <c r="B3" s="71"/>
      <c r="C3" s="71"/>
      <c r="D3" s="71"/>
      <c r="E3" s="71"/>
      <c r="F3" s="71"/>
      <c r="G3" s="71"/>
      <c r="H3" s="71"/>
    </row>
    <row r="4" spans="1:16" x14ac:dyDescent="0.25">
      <c r="A4" s="71"/>
      <c r="B4" s="33" t="s">
        <v>44</v>
      </c>
      <c r="C4" s="34" t="s">
        <v>8</v>
      </c>
      <c r="D4" s="31" t="s">
        <v>9</v>
      </c>
      <c r="E4" s="31" t="s">
        <v>10</v>
      </c>
      <c r="F4" s="31" t="s">
        <v>11</v>
      </c>
      <c r="G4" s="31" t="s">
        <v>12</v>
      </c>
      <c r="H4" s="32" t="s">
        <v>13</v>
      </c>
    </row>
    <row r="5" spans="1:16" x14ac:dyDescent="0.25">
      <c r="A5" s="5" t="s">
        <v>56</v>
      </c>
      <c r="B5" s="27">
        <f>HLOOKUP("q8mod1",[1]data_rep!$1:$1048576,VLOOKUP("EnsEns",[1]data_rep!$A$1:$B$200,2,FALSE),FALSE)</f>
        <v>68</v>
      </c>
      <c r="C5" s="18">
        <f>HLOOKUP("q8mod1",[1]data_rep!$1:$1048576,VLOOKUP("1Ens",[1]data_rep!$A$1:$B$200,2,FALSE),FALSE)</f>
        <v>32.1</v>
      </c>
      <c r="D5" s="18">
        <f>HLOOKUP("q8mod1",[1]data_rep!$1:$1048576,VLOOKUP("2Ens",[1]data_rep!$A$1:$B$200,2,FALSE),FALSE)</f>
        <v>48.6</v>
      </c>
      <c r="E5" s="18">
        <f>HLOOKUP("q8mod1",[1]data_rep!$1:$1048576,VLOOKUP("3Ens",[1]data_rep!$A$1:$B$200,2,FALSE),FALSE)</f>
        <v>57.999999999999993</v>
      </c>
      <c r="F5" s="18">
        <f>HLOOKUP("q8mod1",[1]data_rep!$1:$1048576,VLOOKUP("4Ens",[1]data_rep!$A$1:$B$200,2,FALSE),FALSE)</f>
        <v>71.599999999999994</v>
      </c>
      <c r="G5" s="18">
        <f>HLOOKUP("q8mod1",[1]data_rep!$1:$1048576,VLOOKUP("5Ens",[1]data_rep!$A$1:$B$200,2,FALSE),FALSE)</f>
        <v>77.2</v>
      </c>
      <c r="H5" s="13">
        <f>HLOOKUP("q8mod1",[1]data_rep!$1:$1048576,VLOOKUP("6Ens",[1]data_rep!$A$1:$B$200,2,FALSE),FALSE)</f>
        <v>80.400000000000006</v>
      </c>
    </row>
    <row r="6" spans="1:16" x14ac:dyDescent="0.25">
      <c r="A6" s="7" t="s">
        <v>57</v>
      </c>
      <c r="B6" s="29">
        <f>HLOOKUP("q8mod2",[1]data_rep!$1:$1048576,VLOOKUP("EnsEns",[1]data_rep!$A$1:$B$200,2,FALSE),FALSE)</f>
        <v>32</v>
      </c>
      <c r="C6" s="20">
        <f>HLOOKUP("q8mod2",[1]data_rep!$1:$1048576,VLOOKUP("1Ens",[1]data_rep!$A$1:$B$200,2,FALSE),FALSE)</f>
        <v>67.900000000000006</v>
      </c>
      <c r="D6" s="20">
        <f>HLOOKUP("q8mod2",[1]data_rep!$1:$1048576,VLOOKUP("2Ens",[1]data_rep!$A$1:$B$200,2,FALSE),FALSE)</f>
        <v>51.4</v>
      </c>
      <c r="E6" s="20">
        <f>HLOOKUP("q8mod2",[1]data_rep!$1:$1048576,VLOOKUP("3Ens",[1]data_rep!$A$1:$B$200,2,FALSE),FALSE)</f>
        <v>42</v>
      </c>
      <c r="F6" s="20">
        <f>HLOOKUP("q8mod2",[1]data_rep!$1:$1048576,VLOOKUP("4Ens",[1]data_rep!$A$1:$B$200,2,FALSE),FALSE)</f>
        <v>28.4</v>
      </c>
      <c r="G6" s="20">
        <f>HLOOKUP("q8mod2",[1]data_rep!$1:$1048576,VLOOKUP("5Ens",[1]data_rep!$A$1:$B$200,2,FALSE),FALSE)</f>
        <v>22.8</v>
      </c>
      <c r="H6" s="14">
        <f>HLOOKUP("q8mod2",[1]data_rep!$1:$1048576,VLOOKUP("6Ens",[1]data_rep!$A$1:$B$200,2,FALSE),FALSE)</f>
        <v>19.600000000000001</v>
      </c>
    </row>
    <row r="7" spans="1:16" x14ac:dyDescent="0.25">
      <c r="A7" s="8" t="s">
        <v>116</v>
      </c>
      <c r="B7" s="71"/>
      <c r="C7" s="71"/>
      <c r="D7" s="71"/>
      <c r="E7" s="71"/>
      <c r="F7" s="71"/>
      <c r="G7" s="71"/>
      <c r="H7" s="71"/>
    </row>
    <row r="8" spans="1:16" x14ac:dyDescent="0.25">
      <c r="A8" s="8" t="s">
        <v>7</v>
      </c>
      <c r="B8" s="71"/>
      <c r="C8" s="71"/>
      <c r="D8" s="71"/>
      <c r="E8" s="71"/>
      <c r="F8" s="71"/>
      <c r="G8" s="71"/>
      <c r="H8" s="71"/>
    </row>
  </sheetData>
  <mergeCells count="1">
    <mergeCell ref="A1:O1"/>
  </mergeCells>
  <hyperlinks>
    <hyperlink ref="P1" location="'Lisez-moi'!A1" display="Retour au sommair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I23" sqref="I23"/>
    </sheetView>
  </sheetViews>
  <sheetFormatPr baseColWidth="10" defaultRowHeight="15" x14ac:dyDescent="0.25"/>
  <cols>
    <col min="1" max="1" width="90" customWidth="1"/>
  </cols>
  <sheetData>
    <row r="1" spans="1:16" s="71" customFormat="1" ht="15" customHeight="1" x14ac:dyDescent="0.25">
      <c r="A1" s="147" t="s">
        <v>141</v>
      </c>
      <c r="B1" s="147"/>
      <c r="C1" s="147"/>
      <c r="D1" s="147"/>
      <c r="E1" s="147"/>
      <c r="F1" s="147"/>
      <c r="G1" s="147"/>
      <c r="H1" s="147"/>
      <c r="I1" s="147"/>
      <c r="J1" s="147"/>
      <c r="K1" s="147"/>
      <c r="L1" s="147"/>
      <c r="M1" s="147"/>
      <c r="N1" s="147"/>
      <c r="O1" s="147"/>
      <c r="P1" s="76" t="s">
        <v>111</v>
      </c>
    </row>
    <row r="3" spans="1:16" x14ac:dyDescent="0.25">
      <c r="A3" s="71" t="s">
        <v>146</v>
      </c>
      <c r="B3" s="71"/>
      <c r="C3" s="71"/>
    </row>
    <row r="4" spans="1:16" x14ac:dyDescent="0.25">
      <c r="A4" s="71"/>
      <c r="B4" s="42" t="s">
        <v>56</v>
      </c>
      <c r="C4" s="41" t="s">
        <v>57</v>
      </c>
    </row>
    <row r="5" spans="1:16" x14ac:dyDescent="0.25">
      <c r="A5" s="42" t="s">
        <v>0</v>
      </c>
      <c r="B5" s="23">
        <f>HLOOKUP("q8mod1",[1]data_rep!$1:$1048576,VLOOKUP("EnsEns",[1]data_rep!$A$1:$B$200,2,FALSE),FALSE)</f>
        <v>68</v>
      </c>
      <c r="C5" s="14">
        <f>HLOOKUP("q8mod2",[1]data_rep!$1:$1048576,VLOOKUP("EnsEns",[1]data_rep!$A$1:$B$200,2,FALSE),FALSE)</f>
        <v>32</v>
      </c>
    </row>
    <row r="6" spans="1:16" x14ac:dyDescent="0.25">
      <c r="A6" s="6" t="s">
        <v>51</v>
      </c>
      <c r="B6" s="22">
        <f>HLOOKUP("q8mod1",[1]data_rep!$1:$1048576,VLOOKUP("EnsDE",[1]data_rep!$A$1:$B$200,2,FALSE),FALSE)</f>
        <v>76.599999999999994</v>
      </c>
      <c r="C6" s="13">
        <f>HLOOKUP("q8mod2",[1]data_rep!$1:$1048576,VLOOKUP("EnsDE",[1]data_rep!$A$1:$B$200,2,FALSE),FALSE)</f>
        <v>23.400000000000002</v>
      </c>
    </row>
    <row r="7" spans="1:16" x14ac:dyDescent="0.25">
      <c r="A7" s="6" t="s">
        <v>16</v>
      </c>
      <c r="B7" s="22">
        <f>HLOOKUP("q8mod1",[1]data_rep!$1:$1048576,VLOOKUP("EnsC1",[1]data_rep!$A$1:$B$200,2,FALSE),FALSE)</f>
        <v>80.900000000000006</v>
      </c>
      <c r="C7" s="13">
        <f>HLOOKUP("q8mod2",[1]data_rep!$1:$1048576,VLOOKUP("EnsC1",[1]data_rep!$A$1:$B$200,2,FALSE),FALSE)</f>
        <v>19.100000000000001</v>
      </c>
    </row>
    <row r="8" spans="1:16" x14ac:dyDescent="0.25">
      <c r="A8" s="6" t="s">
        <v>17</v>
      </c>
      <c r="B8" s="22" t="s">
        <v>92</v>
      </c>
      <c r="C8" s="13" t="s">
        <v>92</v>
      </c>
    </row>
    <row r="9" spans="1:16" x14ac:dyDescent="0.25">
      <c r="A9" s="6" t="s">
        <v>18</v>
      </c>
      <c r="B9" s="22">
        <f>HLOOKUP("q8mod1",[1]data_rep!$1:$1048576,VLOOKUP("EnsC3",[1]data_rep!$A$1:$B$200,2,FALSE),FALSE)</f>
        <v>83.8</v>
      </c>
      <c r="C9" s="13">
        <f>HLOOKUP("q8mod2",[1]data_rep!$1:$1048576,VLOOKUP("EnsC3",[1]data_rep!$A$1:$B$200,2,FALSE),FALSE)</f>
        <v>16.2</v>
      </c>
    </row>
    <row r="10" spans="1:16" x14ac:dyDescent="0.25">
      <c r="A10" s="6" t="s">
        <v>19</v>
      </c>
      <c r="B10" s="22">
        <f>HLOOKUP("q8mod1",[1]data_rep!$1:$1048576,VLOOKUP("EnsC4",[1]data_rep!$A$1:$B$200,2,FALSE),FALSE)</f>
        <v>74.099999999999994</v>
      </c>
      <c r="C10" s="13">
        <f>HLOOKUP("q8mod2",[1]data_rep!$1:$1048576,VLOOKUP("EnsC4",[1]data_rep!$A$1:$B$200,2,FALSE),FALSE)</f>
        <v>25.900000000000002</v>
      </c>
    </row>
    <row r="11" spans="1:16" x14ac:dyDescent="0.25">
      <c r="A11" s="6" t="s">
        <v>20</v>
      </c>
      <c r="B11" s="22">
        <f>HLOOKUP("q8mod1",[1]data_rep!$1:$1048576,VLOOKUP("EnsC5",[1]data_rep!$A$1:$B$200,2,FALSE),FALSE)</f>
        <v>70.899999999999991</v>
      </c>
      <c r="C11" s="13">
        <f>HLOOKUP("q8mod2",[1]data_rep!$1:$1048576,VLOOKUP("EnsC5",[1]data_rep!$A$1:$B$200,2,FALSE),FALSE)</f>
        <v>29.099999999999998</v>
      </c>
    </row>
    <row r="12" spans="1:16" x14ac:dyDescent="0.25">
      <c r="A12" s="6" t="s">
        <v>21</v>
      </c>
      <c r="B12" s="22">
        <f>HLOOKUP("q8mod1",[1]data_rep!$1:$1048576,VLOOKUP("EnsFZ",[1]data_rep!$A$1:$B$200,2,FALSE),FALSE)</f>
        <v>76.2</v>
      </c>
      <c r="C12" s="13">
        <f>HLOOKUP("q8mod2",[1]data_rep!$1:$1048576,VLOOKUP("EnsFZ",[1]data_rep!$A$1:$B$200,2,FALSE),FALSE)</f>
        <v>23.799999999999997</v>
      </c>
    </row>
    <row r="13" spans="1:16" x14ac:dyDescent="0.25">
      <c r="A13" s="6" t="s">
        <v>22</v>
      </c>
      <c r="B13" s="22">
        <f>HLOOKUP("q8mod1",[1]data_rep!$1:$1048576,VLOOKUP("EnsGZ",[1]data_rep!$A$1:$B$200,2,FALSE),FALSE)</f>
        <v>73.5</v>
      </c>
      <c r="C13" s="13">
        <f>HLOOKUP("q8mod2",[1]data_rep!$1:$1048576,VLOOKUP("EnsGZ",[1]data_rep!$A$1:$B$200,2,FALSE),FALSE)</f>
        <v>26.5</v>
      </c>
    </row>
    <row r="14" spans="1:16" x14ac:dyDescent="0.25">
      <c r="A14" s="6" t="s">
        <v>23</v>
      </c>
      <c r="B14" s="22">
        <f>HLOOKUP("q8mod1",[1]data_rep!$1:$1048576,VLOOKUP("EnsHZ",[1]data_rep!$A$1:$B$200,2,FALSE),FALSE)</f>
        <v>79.900000000000006</v>
      </c>
      <c r="C14" s="13">
        <f>HLOOKUP("q8mod2",[1]data_rep!$1:$1048576,VLOOKUP("EnsHZ",[1]data_rep!$A$1:$B$200,2,FALSE),FALSE)</f>
        <v>20.100000000000001</v>
      </c>
    </row>
    <row r="15" spans="1:16" x14ac:dyDescent="0.25">
      <c r="A15" s="6" t="s">
        <v>24</v>
      </c>
      <c r="B15" s="22">
        <f>HLOOKUP("q8mod1",[1]data_rep!$1:$1048576,VLOOKUP("EnsIZ",[1]data_rep!$A$1:$B$200,2,FALSE),FALSE)</f>
        <v>28.799999999999997</v>
      </c>
      <c r="C15" s="13">
        <f>HLOOKUP("q8mod2",[1]data_rep!$1:$1048576,VLOOKUP("EnsIZ",[1]data_rep!$A$1:$B$200,2,FALSE),FALSE)</f>
        <v>71.2</v>
      </c>
    </row>
    <row r="16" spans="1:16" x14ac:dyDescent="0.25">
      <c r="A16" s="6" t="s">
        <v>25</v>
      </c>
      <c r="B16" s="22">
        <f>HLOOKUP("q8mod1",[1]data_rep!$1:$1048576,VLOOKUP("EnsJZ",[1]data_rep!$A$1:$B$200,2,FALSE),FALSE)</f>
        <v>47.4</v>
      </c>
      <c r="C16" s="13">
        <f>HLOOKUP("q8mod2",[1]data_rep!$1:$1048576,VLOOKUP("EnsJZ",[1]data_rep!$A$1:$B$200,2,FALSE),FALSE)</f>
        <v>52.6</v>
      </c>
    </row>
    <row r="17" spans="1:3" x14ac:dyDescent="0.25">
      <c r="A17" s="6" t="s">
        <v>26</v>
      </c>
      <c r="B17" s="22">
        <f>HLOOKUP("q8mod1",[1]data_rep!$1:$1048576,VLOOKUP("EnsKZ",[1]data_rep!$A$1:$B$200,2,FALSE),FALSE)</f>
        <v>81.8</v>
      </c>
      <c r="C17" s="13">
        <f>HLOOKUP("q8mod2",[1]data_rep!$1:$1048576,VLOOKUP("EnsKZ",[1]data_rep!$A$1:$B$200,2,FALSE),FALSE)</f>
        <v>18.2</v>
      </c>
    </row>
    <row r="18" spans="1:3" x14ac:dyDescent="0.25">
      <c r="A18" s="6" t="s">
        <v>27</v>
      </c>
      <c r="B18" s="22">
        <f>HLOOKUP("q8mod1",[1]data_rep!$1:$1048576,VLOOKUP("EnsLZ",[1]data_rep!$A$1:$B$200,2,FALSE),FALSE)</f>
        <v>87.9</v>
      </c>
      <c r="C18" s="13">
        <f>HLOOKUP("q8mod2",[1]data_rep!$1:$1048576,VLOOKUP("EnsLZ",[1]data_rep!$A$1:$B$200,2,FALSE),FALSE)</f>
        <v>12.1</v>
      </c>
    </row>
    <row r="19" spans="1:3" x14ac:dyDescent="0.25">
      <c r="A19" s="6" t="s">
        <v>28</v>
      </c>
      <c r="B19" s="22">
        <f>HLOOKUP("q8mod1",[1]data_rep!$1:$1048576,VLOOKUP("EnsMN",[1]data_rep!$A$1:$B$200,2,FALSE),FALSE)</f>
        <v>57.4</v>
      </c>
      <c r="C19" s="13">
        <f>HLOOKUP("q8mod2",[1]data_rep!$1:$1048576,VLOOKUP("EnsMN",[1]data_rep!$A$1:$B$200,2,FALSE),FALSE)</f>
        <v>42.6</v>
      </c>
    </row>
    <row r="20" spans="1:3" x14ac:dyDescent="0.25">
      <c r="A20" s="6" t="s">
        <v>29</v>
      </c>
      <c r="B20" s="22">
        <f>HLOOKUP("q8mod1",[1]data_rep!$1:$1048576,VLOOKUP("EnsOQ",[1]data_rep!$A$1:$B$200,2,FALSE),FALSE)</f>
        <v>80.900000000000006</v>
      </c>
      <c r="C20" s="13">
        <f>HLOOKUP("q8mod2",[1]data_rep!$1:$1048576,VLOOKUP("EnsOQ",[1]data_rep!$A$1:$B$200,2,FALSE),FALSE)</f>
        <v>19.100000000000001</v>
      </c>
    </row>
    <row r="21" spans="1:3" x14ac:dyDescent="0.25">
      <c r="A21" s="7" t="s">
        <v>30</v>
      </c>
      <c r="B21" s="23">
        <f>HLOOKUP("q8mod1",[1]data_rep!$1:$1048576,VLOOKUP("EnsRU",[1]data_rep!$A$1:$B$200,2,FALSE),FALSE)</f>
        <v>54.800000000000004</v>
      </c>
      <c r="C21" s="14">
        <f>HLOOKUP("q8mod2",[1]data_rep!$1:$1048576,VLOOKUP("EnsRU",[1]data_rep!$A$1:$B$200,2,FALSE),FALSE)</f>
        <v>45.2</v>
      </c>
    </row>
    <row r="22" spans="1:3" x14ac:dyDescent="0.25">
      <c r="A22" s="8" t="s">
        <v>116</v>
      </c>
      <c r="B22" s="71"/>
      <c r="C22" s="71"/>
    </row>
    <row r="23" spans="1:3" x14ac:dyDescent="0.25">
      <c r="A23" s="8" t="s">
        <v>7</v>
      </c>
      <c r="B23" s="71"/>
      <c r="C23" s="71"/>
    </row>
  </sheetData>
  <mergeCells count="1">
    <mergeCell ref="A1:O1"/>
  </mergeCells>
  <hyperlinks>
    <hyperlink ref="P1" location="'Lisez-moi'!A1" display="Retour au sommair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D23"/>
  <sheetViews>
    <sheetView workbookViewId="0">
      <selection activeCell="H25" sqref="H25"/>
    </sheetView>
  </sheetViews>
  <sheetFormatPr baseColWidth="10" defaultRowHeight="15" x14ac:dyDescent="0.25"/>
  <cols>
    <col min="1" max="1" width="85.5703125" style="71" customWidth="1"/>
    <col min="2" max="16384" width="11.42578125" style="71"/>
  </cols>
  <sheetData>
    <row r="1" spans="1:4" x14ac:dyDescent="0.25">
      <c r="A1" s="4" t="s">
        <v>151</v>
      </c>
      <c r="D1" s="76" t="s">
        <v>111</v>
      </c>
    </row>
    <row r="3" spans="1:4" x14ac:dyDescent="0.25">
      <c r="A3" s="71" t="s">
        <v>150</v>
      </c>
      <c r="B3" s="78"/>
    </row>
    <row r="4" spans="1:4" x14ac:dyDescent="0.25">
      <c r="A4" s="5" t="s">
        <v>58</v>
      </c>
      <c r="B4" s="79">
        <f>HLOOKUP("q11mod1",[1]data_rep!$1:$1048576,VLOOKUP("EnsEns",[1]data_rep!$A$1:$B$200,2,FALSE),FALSE)</f>
        <v>39.5</v>
      </c>
    </row>
    <row r="5" spans="1:4" x14ac:dyDescent="0.25">
      <c r="A5" s="6" t="s">
        <v>59</v>
      </c>
      <c r="B5" s="80">
        <f>HLOOKUP("q11mod2",[1]data_rep!$1:$1048576,VLOOKUP("EnsEns",[1]data_rep!$A$1:$B$200,2,FALSE),FALSE)</f>
        <v>11.899999999999999</v>
      </c>
    </row>
    <row r="6" spans="1:4" x14ac:dyDescent="0.25">
      <c r="A6" s="6" t="s">
        <v>60</v>
      </c>
      <c r="B6" s="80">
        <f>HLOOKUP("q11mod3",[1]data_rep!$1:$1048576,VLOOKUP("EnsEns",[1]data_rep!$A$1:$B$200,2,FALSE),FALSE)</f>
        <v>3.3000000000000003</v>
      </c>
    </row>
    <row r="7" spans="1:4" x14ac:dyDescent="0.25">
      <c r="A7" s="6" t="s">
        <v>149</v>
      </c>
      <c r="B7" s="80">
        <f>HLOOKUP("q11mod4",[1]data_rep!$1:$1048576,VLOOKUP("EnsEns",[1]data_rep!$A$1:$B$200,2,FALSE),FALSE)</f>
        <v>38.4</v>
      </c>
    </row>
    <row r="8" spans="1:4" x14ac:dyDescent="0.25">
      <c r="A8" s="7" t="s">
        <v>42</v>
      </c>
      <c r="B8" s="81">
        <f>HLOOKUP("q11mod5",[1]data_rep!$1:$1048576,VLOOKUP("EnsEns",[1]data_rep!$A$1:$B$200,2,FALSE),FALSE)</f>
        <v>6.8000000000000007</v>
      </c>
    </row>
    <row r="9" spans="1:4" x14ac:dyDescent="0.25">
      <c r="A9" s="8" t="s">
        <v>148</v>
      </c>
    </row>
    <row r="10" spans="1:4" x14ac:dyDescent="0.25">
      <c r="A10" s="8" t="s">
        <v>116</v>
      </c>
    </row>
    <row r="11" spans="1:4" x14ac:dyDescent="0.25">
      <c r="A11" s="8" t="s">
        <v>7</v>
      </c>
    </row>
    <row r="12" spans="1:4" x14ac:dyDescent="0.25">
      <c r="A12" s="63"/>
    </row>
    <row r="13" spans="1:4" x14ac:dyDescent="0.25">
      <c r="A13" s="63"/>
    </row>
    <row r="14" spans="1:4" x14ac:dyDescent="0.25">
      <c r="A14" s="63"/>
    </row>
    <row r="15" spans="1:4" x14ac:dyDescent="0.25">
      <c r="A15" s="63"/>
    </row>
    <row r="16" spans="1:4" x14ac:dyDescent="0.25">
      <c r="A16" s="63"/>
    </row>
    <row r="17" spans="1:1" x14ac:dyDescent="0.25">
      <c r="A17" s="63"/>
    </row>
    <row r="18" spans="1:1" x14ac:dyDescent="0.25">
      <c r="A18" s="63"/>
    </row>
    <row r="19" spans="1:1" x14ac:dyDescent="0.25">
      <c r="A19" s="63"/>
    </row>
    <row r="20" spans="1:1" x14ac:dyDescent="0.25">
      <c r="A20" s="63"/>
    </row>
    <row r="21" spans="1:1" x14ac:dyDescent="0.25">
      <c r="A21" s="63"/>
    </row>
    <row r="22" spans="1:1" x14ac:dyDescent="0.25">
      <c r="A22" s="63"/>
    </row>
    <row r="23" spans="1:1" x14ac:dyDescent="0.25">
      <c r="A23" s="63"/>
    </row>
  </sheetData>
  <hyperlinks>
    <hyperlink ref="D1" location="'Lisez-moi'!A1" display="Retour au 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D11"/>
  <sheetViews>
    <sheetView workbookViewId="0">
      <selection activeCell="A3" sqref="A3"/>
    </sheetView>
  </sheetViews>
  <sheetFormatPr baseColWidth="10" defaultRowHeight="15" x14ac:dyDescent="0.25"/>
  <cols>
    <col min="1" max="1" width="90.42578125" style="71" customWidth="1"/>
    <col min="2" max="2" width="11.42578125" style="71"/>
    <col min="3" max="3" width="37.85546875" style="71" customWidth="1"/>
    <col min="4" max="16384" width="11.42578125" style="71"/>
  </cols>
  <sheetData>
    <row r="1" spans="1:4" x14ac:dyDescent="0.25">
      <c r="A1" s="4" t="s">
        <v>114</v>
      </c>
      <c r="D1" s="76" t="s">
        <v>111</v>
      </c>
    </row>
    <row r="3" spans="1:4" x14ac:dyDescent="0.25">
      <c r="A3" s="71" t="s">
        <v>117</v>
      </c>
    </row>
    <row r="4" spans="1:4" x14ac:dyDescent="0.25">
      <c r="A4" s="5" t="s">
        <v>1</v>
      </c>
      <c r="B4" s="12">
        <f>HLOOKUP("q2mod1",[1]data_rep!$1:$1048576,VLOOKUP("EnsEns",[1]data_rep!$A$1:$B$200,2,FALSE),FALSE)</f>
        <v>1.4000000000000001</v>
      </c>
    </row>
    <row r="5" spans="1:4" x14ac:dyDescent="0.25">
      <c r="A5" s="6" t="s">
        <v>2</v>
      </c>
      <c r="B5" s="13">
        <f>HLOOKUP("q2mod2",[1]data_rep!$1:$1048576,VLOOKUP("EnsEns",[1]data_rep!$A$1:$B$200,2,FALSE),FALSE)</f>
        <v>11.4</v>
      </c>
    </row>
    <row r="6" spans="1:4" x14ac:dyDescent="0.25">
      <c r="A6" s="6" t="s">
        <v>3</v>
      </c>
      <c r="B6" s="13">
        <f>HLOOKUP("q2mod3",[1]data_rep!$1:$1048576,VLOOKUP("EnsEns",[1]data_rep!$A$1:$B$200,2,FALSE),FALSE)</f>
        <v>38.5</v>
      </c>
    </row>
    <row r="7" spans="1:4" x14ac:dyDescent="0.25">
      <c r="A7" s="6" t="s">
        <v>4</v>
      </c>
      <c r="B7" s="13">
        <f>HLOOKUP("q2mod4",[1]data_rep!$1:$1048576,VLOOKUP("EnsEns",[1]data_rep!$A$1:$B$200,2,FALSE),FALSE)</f>
        <v>37.1</v>
      </c>
    </row>
    <row r="8" spans="1:4" x14ac:dyDescent="0.25">
      <c r="A8" s="7" t="s">
        <v>5</v>
      </c>
      <c r="B8" s="14">
        <f>HLOOKUP("q2mod5",[1]data_rep!$1:$1048576,VLOOKUP("EnsEns",[1]data_rep!$A$1:$B$200,2,FALSE),FALSE)</f>
        <v>11.600000000000001</v>
      </c>
    </row>
    <row r="9" spans="1:4" x14ac:dyDescent="0.25">
      <c r="A9" s="8" t="s">
        <v>115</v>
      </c>
    </row>
    <row r="10" spans="1:4" x14ac:dyDescent="0.25">
      <c r="A10" s="8" t="s">
        <v>116</v>
      </c>
    </row>
    <row r="11" spans="1:4" x14ac:dyDescent="0.25">
      <c r="A11" s="8" t="s">
        <v>7</v>
      </c>
    </row>
  </sheetData>
  <hyperlinks>
    <hyperlink ref="D1" location="'Lisez-moi'!A1" display="Retour au sommair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N17"/>
  <sheetViews>
    <sheetView workbookViewId="0">
      <selection activeCell="K23" sqref="K23"/>
    </sheetView>
  </sheetViews>
  <sheetFormatPr baseColWidth="10" defaultRowHeight="15" x14ac:dyDescent="0.25"/>
  <cols>
    <col min="1" max="1" width="91.85546875" style="71" customWidth="1"/>
    <col min="2" max="16384" width="11.42578125" style="71"/>
  </cols>
  <sheetData>
    <row r="1" spans="1:14" x14ac:dyDescent="0.25">
      <c r="A1" s="4" t="s">
        <v>151</v>
      </c>
      <c r="D1" s="76" t="s">
        <v>111</v>
      </c>
    </row>
    <row r="2" spans="1:14" x14ac:dyDescent="0.25">
      <c r="A2" s="4"/>
    </row>
    <row r="3" spans="1:14" x14ac:dyDescent="0.25">
      <c r="A3" s="71" t="s">
        <v>152</v>
      </c>
    </row>
    <row r="4" spans="1:14" x14ac:dyDescent="0.25">
      <c r="B4" s="38" t="s">
        <v>44</v>
      </c>
      <c r="C4" s="34" t="s">
        <v>8</v>
      </c>
      <c r="D4" s="31" t="s">
        <v>9</v>
      </c>
      <c r="E4" s="31" t="s">
        <v>10</v>
      </c>
      <c r="F4" s="31" t="s">
        <v>11</v>
      </c>
      <c r="G4" s="31" t="s">
        <v>12</v>
      </c>
      <c r="H4" s="32" t="s">
        <v>13</v>
      </c>
    </row>
    <row r="5" spans="1:14" x14ac:dyDescent="0.25">
      <c r="A5" s="5" t="s">
        <v>58</v>
      </c>
      <c r="B5" s="27">
        <f>HLOOKUP("q11mod1",[1]data_rep!$1:$1048576,VLOOKUP("EnsEns",[1]data_rep!$A$1:$B$200,2,FALSE),FALSE)</f>
        <v>39.5</v>
      </c>
      <c r="C5" s="22">
        <f>HLOOKUP("q11mod1",[1]data_rep!$1:$1048576,VLOOKUP("1Ens",[1]data_rep!$A$1:$B$200,2,FALSE),FALSE)</f>
        <v>48.8</v>
      </c>
      <c r="D5" s="18">
        <f>HLOOKUP("q11mod1",[1]data_rep!$1:$1048576,VLOOKUP("2Ens",[1]data_rep!$A$1:$B$200,2,FALSE),FALSE)</f>
        <v>44.4</v>
      </c>
      <c r="E5" s="18">
        <f>HLOOKUP("q11mod1",[1]data_rep!$1:$1048576,VLOOKUP("3Ens",[1]data_rep!$A$1:$B$200,2,FALSE),FALSE)</f>
        <v>42.699999999999996</v>
      </c>
      <c r="F5" s="18">
        <f>HLOOKUP("q11mod1",[1]data_rep!$1:$1048576,VLOOKUP("4Ens",[1]data_rep!$A$1:$B$200,2,FALSE),FALSE)</f>
        <v>39.4</v>
      </c>
      <c r="G5" s="18">
        <f>HLOOKUP("q11mod1",[1]data_rep!$1:$1048576,VLOOKUP("5Ens",[1]data_rep!$A$1:$B$200,2,FALSE),FALSE)</f>
        <v>34.5</v>
      </c>
      <c r="H5" s="13">
        <f>HLOOKUP("q11mod1",[1]data_rep!$1:$1048576,VLOOKUP("6Ens",[1]data_rep!$A$1:$B$200,2,FALSE),FALSE)</f>
        <v>36.5</v>
      </c>
    </row>
    <row r="6" spans="1:14" x14ac:dyDescent="0.25">
      <c r="A6" s="6" t="s">
        <v>59</v>
      </c>
      <c r="B6" s="28">
        <f>HLOOKUP("q11mod2",[1]data_rep!$1:$1048576,VLOOKUP("EnsEns",[1]data_rep!$A$1:$B$200,2,FALSE),FALSE)</f>
        <v>11.899999999999999</v>
      </c>
      <c r="C6" s="22">
        <f>HLOOKUP("q11mod2",[1]data_rep!$1:$1048576,VLOOKUP("1Ens",[1]data_rep!$A$1:$B$200,2,FALSE),FALSE)</f>
        <v>18</v>
      </c>
      <c r="D6" s="18">
        <f>HLOOKUP("q11mod2",[1]data_rep!$1:$1048576,VLOOKUP("2Ens",[1]data_rep!$A$1:$B$200,2,FALSE),FALSE)</f>
        <v>16.2</v>
      </c>
      <c r="E6" s="18">
        <f>HLOOKUP("q11mod2",[1]data_rep!$1:$1048576,VLOOKUP("3Ens",[1]data_rep!$A$1:$B$200,2,FALSE),FALSE)</f>
        <v>13.900000000000002</v>
      </c>
      <c r="F6" s="18">
        <f>HLOOKUP("q11mod2",[1]data_rep!$1:$1048576,VLOOKUP("4Ens",[1]data_rep!$A$1:$B$200,2,FALSE),FALSE)</f>
        <v>10.9</v>
      </c>
      <c r="G6" s="18">
        <f>HLOOKUP("q11mod2",[1]data_rep!$1:$1048576,VLOOKUP("5Ens",[1]data_rep!$A$1:$B$200,2,FALSE),FALSE)</f>
        <v>9.1</v>
      </c>
      <c r="H6" s="13">
        <f>HLOOKUP("q11mod2",[1]data_rep!$1:$1048576,VLOOKUP("6Ens",[1]data_rep!$A$1:$B$200,2,FALSE),FALSE)</f>
        <v>9.7000000000000011</v>
      </c>
    </row>
    <row r="7" spans="1:14" x14ac:dyDescent="0.25">
      <c r="A7" s="6" t="s">
        <v>60</v>
      </c>
      <c r="B7" s="28">
        <f>HLOOKUP("q11mod3",[1]data_rep!$1:$1048576,VLOOKUP("EnsEns",[1]data_rep!$A$1:$B$200,2,FALSE),FALSE)</f>
        <v>3.3000000000000003</v>
      </c>
      <c r="C7" s="22">
        <f>HLOOKUP("q11mod3",[1]data_rep!$1:$1048576,VLOOKUP("1Ens",[1]data_rep!$A$1:$B$200,2,FALSE),FALSE)</f>
        <v>4.1000000000000005</v>
      </c>
      <c r="D7" s="18">
        <f>HLOOKUP("q11mod3",[1]data_rep!$1:$1048576,VLOOKUP("2Ens",[1]data_rep!$A$1:$B$200,2,FALSE),FALSE)</f>
        <v>2.7</v>
      </c>
      <c r="E7" s="18">
        <f>HLOOKUP("q11mod3",[1]data_rep!$1:$1048576,VLOOKUP("3Ens",[1]data_rep!$A$1:$B$200,2,FALSE),FALSE)</f>
        <v>2.5</v>
      </c>
      <c r="F7" s="18">
        <f>HLOOKUP("q11mod3",[1]data_rep!$1:$1048576,VLOOKUP("4Ens",[1]data_rep!$A$1:$B$200,2,FALSE),FALSE)</f>
        <v>2.5</v>
      </c>
      <c r="G7" s="18">
        <f>HLOOKUP("q11mod3",[1]data_rep!$1:$1048576,VLOOKUP("5Ens",[1]data_rep!$A$1:$B$200,2,FALSE),FALSE)</f>
        <v>3</v>
      </c>
      <c r="H7" s="13">
        <f>HLOOKUP("q11mod3",[1]data_rep!$1:$1048576,VLOOKUP("6Ens",[1]data_rep!$A$1:$B$200,2,FALSE),FALSE)</f>
        <v>4.3</v>
      </c>
    </row>
    <row r="8" spans="1:14" x14ac:dyDescent="0.25">
      <c r="A8" s="6" t="s">
        <v>149</v>
      </c>
      <c r="B8" s="28">
        <f>HLOOKUP("q11mod4",[1]data_rep!$1:$1048576,VLOOKUP("EnsEns",[1]data_rep!$A$1:$B$200,2,FALSE),FALSE)</f>
        <v>38.4</v>
      </c>
      <c r="C8" s="22">
        <f>HLOOKUP("q11mod4",[1]data_rep!$1:$1048576,VLOOKUP("1Ens",[1]data_rep!$A$1:$B$200,2,FALSE),FALSE)</f>
        <v>20.9</v>
      </c>
      <c r="D8" s="18">
        <f>HLOOKUP("q11mod4",[1]data_rep!$1:$1048576,VLOOKUP("2Ens",[1]data_rep!$A$1:$B$200,2,FALSE),FALSE)</f>
        <v>30.2</v>
      </c>
      <c r="E8" s="18">
        <f>HLOOKUP("q11mod4",[1]data_rep!$1:$1048576,VLOOKUP("3Ens",[1]data_rep!$A$1:$B$200,2,FALSE),FALSE)</f>
        <v>35.6</v>
      </c>
      <c r="F8" s="18">
        <f>HLOOKUP("q11mod4",[1]data_rep!$1:$1048576,VLOOKUP("4Ens",[1]data_rep!$A$1:$B$200,2,FALSE),FALSE)</f>
        <v>40.1</v>
      </c>
      <c r="G8" s="18">
        <f>HLOOKUP("q11mod4",[1]data_rep!$1:$1048576,VLOOKUP("5Ens",[1]data_rep!$A$1:$B$200,2,FALSE),FALSE)</f>
        <v>47.3</v>
      </c>
      <c r="H8" s="13">
        <f>HLOOKUP("q11mod4",[1]data_rep!$1:$1048576,VLOOKUP("6Ens",[1]data_rep!$A$1:$B$200,2,FALSE),FALSE)</f>
        <v>42.4</v>
      </c>
    </row>
    <row r="9" spans="1:14" x14ac:dyDescent="0.25">
      <c r="A9" s="7" t="s">
        <v>42</v>
      </c>
      <c r="B9" s="29">
        <f>HLOOKUP("q11mod5",[1]data_rep!$1:$1048576,VLOOKUP("EnsEns",[1]data_rep!$A$1:$B$200,2,FALSE),FALSE)</f>
        <v>6.8000000000000007</v>
      </c>
      <c r="C9" s="23">
        <f>HLOOKUP("q11mod5",[1]data_rep!$1:$1048576,VLOOKUP("1Ens",[1]data_rep!$A$1:$B$200,2,FALSE),FALSE)</f>
        <v>8.2000000000000011</v>
      </c>
      <c r="D9" s="20">
        <f>HLOOKUP("q11mod5",[1]data_rep!$1:$1048576,VLOOKUP("2Ens",[1]data_rep!$A$1:$B$200,2,FALSE),FALSE)</f>
        <v>6.5</v>
      </c>
      <c r="E9" s="20">
        <f>HLOOKUP("q11mod5",[1]data_rep!$1:$1048576,VLOOKUP("3Ens",[1]data_rep!$A$1:$B$200,2,FALSE),FALSE)</f>
        <v>5.3</v>
      </c>
      <c r="F9" s="20">
        <f>HLOOKUP("q11mod5",[1]data_rep!$1:$1048576,VLOOKUP("4Ens",[1]data_rep!$A$1:$B$200,2,FALSE),FALSE)</f>
        <v>7.1</v>
      </c>
      <c r="G9" s="20">
        <f>HLOOKUP("q11mod5",[1]data_rep!$1:$1048576,VLOOKUP("5Ens",[1]data_rep!$A$1:$B$200,2,FALSE),FALSE)</f>
        <v>6.1</v>
      </c>
      <c r="H9" s="14">
        <f>HLOOKUP("q11mod5",[1]data_rep!$1:$1048576,VLOOKUP("6Ens",[1]data_rep!$A$1:$B$200,2,FALSE),FALSE)</f>
        <v>7.1999999999999993</v>
      </c>
    </row>
    <row r="10" spans="1:14" x14ac:dyDescent="0.25">
      <c r="A10" s="8" t="s">
        <v>116</v>
      </c>
    </row>
    <row r="11" spans="1:14" x14ac:dyDescent="0.25">
      <c r="A11" s="8" t="s">
        <v>7</v>
      </c>
    </row>
    <row r="13" spans="1:14" x14ac:dyDescent="0.25">
      <c r="H13" s="69"/>
      <c r="I13" s="69"/>
      <c r="J13" s="69"/>
      <c r="K13" s="69"/>
      <c r="L13" s="69"/>
      <c r="M13" s="69"/>
      <c r="N13" s="69"/>
    </row>
    <row r="14" spans="1:14" x14ac:dyDescent="0.25">
      <c r="H14" s="69"/>
      <c r="I14" s="69"/>
      <c r="J14" s="69"/>
      <c r="K14" s="69"/>
      <c r="L14" s="69"/>
      <c r="M14" s="69"/>
      <c r="N14" s="69"/>
    </row>
    <row r="15" spans="1:14" x14ac:dyDescent="0.25">
      <c r="H15" s="69"/>
      <c r="I15" s="69"/>
      <c r="J15" s="69"/>
      <c r="K15" s="69"/>
      <c r="L15" s="69"/>
      <c r="M15" s="69"/>
      <c r="N15" s="69"/>
    </row>
    <row r="16" spans="1:14" x14ac:dyDescent="0.25">
      <c r="H16" s="69"/>
      <c r="I16" s="69"/>
      <c r="J16" s="69"/>
      <c r="K16" s="69"/>
      <c r="L16" s="69"/>
      <c r="M16" s="69"/>
      <c r="N16" s="69"/>
    </row>
    <row r="17" spans="8:14" x14ac:dyDescent="0.25">
      <c r="H17" s="69"/>
      <c r="I17" s="69"/>
      <c r="J17" s="69"/>
      <c r="K17" s="69"/>
      <c r="L17" s="69"/>
      <c r="M17" s="69"/>
      <c r="N17" s="69"/>
    </row>
  </sheetData>
  <hyperlinks>
    <hyperlink ref="D1" location="'Lisez-moi'!A1" display="Retour au sommaire"/>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I24"/>
  <sheetViews>
    <sheetView workbookViewId="0"/>
  </sheetViews>
  <sheetFormatPr baseColWidth="10" defaultRowHeight="15" x14ac:dyDescent="0.25"/>
  <cols>
    <col min="1" max="1" width="91.85546875" customWidth="1"/>
  </cols>
  <sheetData>
    <row r="1" spans="1:9" x14ac:dyDescent="0.25">
      <c r="A1" s="4" t="s">
        <v>151</v>
      </c>
      <c r="D1" s="76" t="s">
        <v>111</v>
      </c>
    </row>
    <row r="3" spans="1:9" x14ac:dyDescent="0.25">
      <c r="A3" s="71" t="s">
        <v>154</v>
      </c>
      <c r="B3" s="71"/>
      <c r="C3" s="71"/>
      <c r="D3" s="71"/>
      <c r="E3" s="71"/>
      <c r="F3" s="71"/>
    </row>
    <row r="4" spans="1:9" s="71" customFormat="1" x14ac:dyDescent="0.25"/>
    <row r="5" spans="1:9" ht="138" customHeight="1" x14ac:dyDescent="0.25">
      <c r="A5" s="71"/>
      <c r="B5" s="51" t="s">
        <v>58</v>
      </c>
      <c r="C5" s="47" t="s">
        <v>59</v>
      </c>
      <c r="D5" s="47" t="s">
        <v>60</v>
      </c>
      <c r="E5" s="47" t="s">
        <v>149</v>
      </c>
      <c r="F5" s="50" t="s">
        <v>42</v>
      </c>
    </row>
    <row r="6" spans="1:9" x14ac:dyDescent="0.25">
      <c r="A6" s="42" t="s">
        <v>0</v>
      </c>
      <c r="B6" s="23">
        <f>HLOOKUP("q11mod1",[1]data_rep!$1:$1048576,VLOOKUP("EnsEns",[1]data_rep!$A$1:$B$200,2,FALSE),FALSE)</f>
        <v>39.5</v>
      </c>
      <c r="C6" s="20">
        <f>HLOOKUP("q11mod2",[1]data_rep!$1:$1048576,VLOOKUP("EnsEns",[1]data_rep!$A$1:$B$200,2,FALSE),FALSE)</f>
        <v>11.899999999999999</v>
      </c>
      <c r="D6" s="20">
        <f>HLOOKUP("q11mod3",[1]data_rep!$1:$1048576,VLOOKUP("EnsEns",[1]data_rep!$A$1:$B$200,2,FALSE),FALSE)</f>
        <v>3.3000000000000003</v>
      </c>
      <c r="E6" s="20">
        <f>HLOOKUP("q11mod4",[1]data_rep!$1:$1048576,VLOOKUP("EnsEns",[1]data_rep!$A$1:$B$200,2,FALSE),FALSE)</f>
        <v>38.4</v>
      </c>
      <c r="F6" s="14">
        <f>HLOOKUP("q11mod5",[1]data_rep!$1:$1048576,VLOOKUP("EnsEns",[1]data_rep!$A$1:$B$200,2,FALSE),FALSE)</f>
        <v>6.8000000000000007</v>
      </c>
      <c r="G6" s="69"/>
      <c r="H6" s="69"/>
      <c r="I6" s="69"/>
    </row>
    <row r="7" spans="1:9" x14ac:dyDescent="0.25">
      <c r="A7" s="6" t="s">
        <v>51</v>
      </c>
      <c r="B7" s="22">
        <f>HLOOKUP("q11mod1",[1]data_rep!$1:$1048576,VLOOKUP("EnsDE",[1]data_rep!$A$1:$B$200,2,FALSE),FALSE)</f>
        <v>33.700000000000003</v>
      </c>
      <c r="C7" s="18">
        <f>HLOOKUP("q11mod2",[1]data_rep!$1:$1048576,VLOOKUP("EnsDE",[1]data_rep!$A$1:$B$200,2,FALSE),FALSE)</f>
        <v>0</v>
      </c>
      <c r="D7" s="18">
        <f>HLOOKUP("q11mod3",[1]data_rep!$1:$1048576,VLOOKUP("EnsDE",[1]data_rep!$A$1:$B$200,2,FALSE),FALSE)</f>
        <v>2</v>
      </c>
      <c r="E7" s="18">
        <f>HLOOKUP("q11mod4",[1]data_rep!$1:$1048576,VLOOKUP("EnsDE",[1]data_rep!$A$1:$B$200,2,FALSE),FALSE)</f>
        <v>49.4</v>
      </c>
      <c r="F7" s="13">
        <f>HLOOKUP("q11mod5",[1]data_rep!$1:$1048576,VLOOKUP("EnsDE",[1]data_rep!$A$1:$B$200,2,FALSE),FALSE)</f>
        <v>14.899999999999999</v>
      </c>
      <c r="G7" s="69"/>
      <c r="H7" s="69"/>
      <c r="I7" s="69"/>
    </row>
    <row r="8" spans="1:9" x14ac:dyDescent="0.25">
      <c r="A8" s="6" t="s">
        <v>16</v>
      </c>
      <c r="B8" s="22">
        <f>HLOOKUP("q11mod1",[1]data_rep!$1:$1048576,VLOOKUP("EnsC1",[1]data_rep!$A$1:$B$200,2,FALSE),FALSE)</f>
        <v>28.9</v>
      </c>
      <c r="C8" s="18">
        <f>HLOOKUP("q11mod2",[1]data_rep!$1:$1048576,VLOOKUP("EnsC1",[1]data_rep!$A$1:$B$200,2,FALSE),FALSE)</f>
        <v>4.5999999999999996</v>
      </c>
      <c r="D8" s="18">
        <f>HLOOKUP("q11mod3",[1]data_rep!$1:$1048576,VLOOKUP("EnsC1",[1]data_rep!$A$1:$B$200,2,FALSE),FALSE)</f>
        <v>1.4000000000000001</v>
      </c>
      <c r="E8" s="18">
        <f>HLOOKUP("q11mod4",[1]data_rep!$1:$1048576,VLOOKUP("EnsC1",[1]data_rep!$A$1:$B$200,2,FALSE),FALSE)</f>
        <v>64.400000000000006</v>
      </c>
      <c r="F8" s="13">
        <f>HLOOKUP("q11mod5",[1]data_rep!$1:$1048576,VLOOKUP("EnsC1",[1]data_rep!$A$1:$B$200,2,FALSE),FALSE)</f>
        <v>0.70000000000000007</v>
      </c>
      <c r="G8" s="69"/>
      <c r="H8" s="69"/>
      <c r="I8" s="69"/>
    </row>
    <row r="9" spans="1:9" x14ac:dyDescent="0.25">
      <c r="A9" s="6" t="s">
        <v>17</v>
      </c>
      <c r="B9" s="22" t="str">
        <f>HLOOKUP("q11mod1",[1]data_rep!$1:$1048576,VLOOKUP("EnsC2",[1]data_rep!$A$1:$B$200,2,FALSE),FALSE)</f>
        <v>nd</v>
      </c>
      <c r="C9" s="18">
        <f>HLOOKUP("q11mod2",[1]data_rep!$1:$1048576,VLOOKUP("EnsC2",[1]data_rep!$A$1:$B$200,2,FALSE),FALSE)</f>
        <v>0</v>
      </c>
      <c r="D9" s="18">
        <f>HLOOKUP("q11mod3",[1]data_rep!$1:$1048576,VLOOKUP("EnsC2",[1]data_rep!$A$1:$B$200,2,FALSE),FALSE)</f>
        <v>0</v>
      </c>
      <c r="E9" s="18" t="str">
        <f>HLOOKUP("q11mod4",[1]data_rep!$1:$1048576,VLOOKUP("EnsC2",[1]data_rep!$A$1:$B$200,2,FALSE),FALSE)</f>
        <v>nd</v>
      </c>
      <c r="F9" s="13">
        <f>HLOOKUP("q11mod5",[1]data_rep!$1:$1048576,VLOOKUP("EnsC2",[1]data_rep!$A$1:$B$200,2,FALSE),FALSE)</f>
        <v>0</v>
      </c>
      <c r="G9" s="69"/>
      <c r="H9" s="69"/>
      <c r="I9" s="69"/>
    </row>
    <row r="10" spans="1:9" x14ac:dyDescent="0.25">
      <c r="A10" s="6" t="s">
        <v>18</v>
      </c>
      <c r="B10" s="22">
        <f>HLOOKUP("q11mod1",[1]data_rep!$1:$1048576,VLOOKUP("EnsC3",[1]data_rep!$A$1:$B$200,2,FALSE),FALSE)</f>
        <v>47.8</v>
      </c>
      <c r="C10" s="18">
        <f>HLOOKUP("q11mod2",[1]data_rep!$1:$1048576,VLOOKUP("EnsC3",[1]data_rep!$A$1:$B$200,2,FALSE),FALSE)</f>
        <v>2.1999999999999997</v>
      </c>
      <c r="D10" s="18">
        <f>HLOOKUP("q11mod3",[1]data_rep!$1:$1048576,VLOOKUP("EnsC3",[1]data_rep!$A$1:$B$200,2,FALSE),FALSE)</f>
        <v>2.6</v>
      </c>
      <c r="E10" s="18">
        <f>HLOOKUP("q11mod4",[1]data_rep!$1:$1048576,VLOOKUP("EnsC3",[1]data_rep!$A$1:$B$200,2,FALSE),FALSE)</f>
        <v>33.900000000000006</v>
      </c>
      <c r="F10" s="13">
        <f>HLOOKUP("q11mod5",[1]data_rep!$1:$1048576,VLOOKUP("EnsC3",[1]data_rep!$A$1:$B$200,2,FALSE),FALSE)</f>
        <v>13.5</v>
      </c>
      <c r="G10" s="69"/>
      <c r="H10" s="69"/>
      <c r="I10" s="69"/>
    </row>
    <row r="11" spans="1:9" x14ac:dyDescent="0.25">
      <c r="A11" s="6" t="s">
        <v>19</v>
      </c>
      <c r="B11" s="22">
        <f>HLOOKUP("q11mod1",[1]data_rep!$1:$1048576,VLOOKUP("EnsC4",[1]data_rep!$A$1:$B$200,2,FALSE),FALSE)</f>
        <v>49.9</v>
      </c>
      <c r="C11" s="18">
        <f>HLOOKUP("q11mod2",[1]data_rep!$1:$1048576,VLOOKUP("EnsC4",[1]data_rep!$A$1:$B$200,2,FALSE),FALSE)</f>
        <v>0.3</v>
      </c>
      <c r="D11" s="18">
        <f>HLOOKUP("q11mod3",[1]data_rep!$1:$1048576,VLOOKUP("EnsC4",[1]data_rep!$A$1:$B$200,2,FALSE),FALSE)</f>
        <v>20.5</v>
      </c>
      <c r="E11" s="18">
        <f>HLOOKUP("q11mod4",[1]data_rep!$1:$1048576,VLOOKUP("EnsC4",[1]data_rep!$A$1:$B$200,2,FALSE),FALSE)</f>
        <v>23.599999999999998</v>
      </c>
      <c r="F11" s="13">
        <f>HLOOKUP("q11mod5",[1]data_rep!$1:$1048576,VLOOKUP("EnsC4",[1]data_rep!$A$1:$B$200,2,FALSE),FALSE)</f>
        <v>5.6000000000000005</v>
      </c>
      <c r="G11" s="69"/>
      <c r="H11" s="69"/>
      <c r="I11" s="69"/>
    </row>
    <row r="12" spans="1:9" x14ac:dyDescent="0.25">
      <c r="A12" s="6" t="s">
        <v>20</v>
      </c>
      <c r="B12" s="22">
        <f>HLOOKUP("q11mod1",[1]data_rep!$1:$1048576,VLOOKUP("EnsC5",[1]data_rep!$A$1:$B$200,2,FALSE),FALSE)</f>
        <v>60.5</v>
      </c>
      <c r="C12" s="18">
        <f>HLOOKUP("q11mod2",[1]data_rep!$1:$1048576,VLOOKUP("EnsC5",[1]data_rep!$A$1:$B$200,2,FALSE),FALSE)</f>
        <v>2.4</v>
      </c>
      <c r="D12" s="18">
        <f>HLOOKUP("q11mod3",[1]data_rep!$1:$1048576,VLOOKUP("EnsC5",[1]data_rep!$A$1:$B$200,2,FALSE),FALSE)</f>
        <v>2.4</v>
      </c>
      <c r="E12" s="18">
        <f>HLOOKUP("q11mod4",[1]data_rep!$1:$1048576,VLOOKUP("EnsC5",[1]data_rep!$A$1:$B$200,2,FALSE),FALSE)</f>
        <v>29.7</v>
      </c>
      <c r="F12" s="13">
        <f>HLOOKUP("q11mod5",[1]data_rep!$1:$1048576,VLOOKUP("EnsC5",[1]data_rep!$A$1:$B$200,2,FALSE),FALSE)</f>
        <v>4.9000000000000004</v>
      </c>
      <c r="G12" s="69"/>
      <c r="H12" s="69"/>
      <c r="I12" s="69"/>
    </row>
    <row r="13" spans="1:9" x14ac:dyDescent="0.25">
      <c r="A13" s="6" t="s">
        <v>21</v>
      </c>
      <c r="B13" s="22">
        <f>HLOOKUP("q11mod1",[1]data_rep!$1:$1048576,VLOOKUP("EnsFZ",[1]data_rep!$A$1:$B$200,2,FALSE),FALSE)</f>
        <v>27.3</v>
      </c>
      <c r="C13" s="18">
        <f>HLOOKUP("q11mod2",[1]data_rep!$1:$1048576,VLOOKUP("EnsFZ",[1]data_rep!$A$1:$B$200,2,FALSE),FALSE)</f>
        <v>6</v>
      </c>
      <c r="D13" s="18">
        <f>HLOOKUP("q11mod3",[1]data_rep!$1:$1048576,VLOOKUP("EnsFZ",[1]data_rep!$A$1:$B$200,2,FALSE),FALSE)</f>
        <v>6</v>
      </c>
      <c r="E13" s="18">
        <f>HLOOKUP("q11mod4",[1]data_rep!$1:$1048576,VLOOKUP("EnsFZ",[1]data_rep!$A$1:$B$200,2,FALSE),FALSE)</f>
        <v>48.199999999999996</v>
      </c>
      <c r="F13" s="13">
        <f>HLOOKUP("q11mod5",[1]data_rep!$1:$1048576,VLOOKUP("EnsFZ",[1]data_rep!$A$1:$B$200,2,FALSE),FALSE)</f>
        <v>12.6</v>
      </c>
      <c r="G13" s="69"/>
      <c r="H13" s="69"/>
      <c r="I13" s="69"/>
    </row>
    <row r="14" spans="1:9" x14ac:dyDescent="0.25">
      <c r="A14" s="6" t="s">
        <v>22</v>
      </c>
      <c r="B14" s="22">
        <f>HLOOKUP("q11mod1",[1]data_rep!$1:$1048576,VLOOKUP("EnsGZ",[1]data_rep!$A$1:$B$200,2,FALSE),FALSE)</f>
        <v>31.4</v>
      </c>
      <c r="C14" s="18">
        <f>HLOOKUP("q11mod2",[1]data_rep!$1:$1048576,VLOOKUP("EnsGZ",[1]data_rep!$A$1:$B$200,2,FALSE),FALSE)</f>
        <v>4.3</v>
      </c>
      <c r="D14" s="18">
        <f>HLOOKUP("q11mod3",[1]data_rep!$1:$1048576,VLOOKUP("EnsGZ",[1]data_rep!$A$1:$B$200,2,FALSE),FALSE)</f>
        <v>3.1</v>
      </c>
      <c r="E14" s="18">
        <f>HLOOKUP("q11mod4",[1]data_rep!$1:$1048576,VLOOKUP("EnsGZ",[1]data_rep!$A$1:$B$200,2,FALSE),FALSE)</f>
        <v>51.9</v>
      </c>
      <c r="F14" s="13">
        <f>HLOOKUP("q11mod5",[1]data_rep!$1:$1048576,VLOOKUP("EnsGZ",[1]data_rep!$A$1:$B$200,2,FALSE),FALSE)</f>
        <v>9.3000000000000007</v>
      </c>
      <c r="G14" s="69"/>
      <c r="H14" s="69"/>
      <c r="I14" s="69"/>
    </row>
    <row r="15" spans="1:9" x14ac:dyDescent="0.25">
      <c r="A15" s="6" t="s">
        <v>23</v>
      </c>
      <c r="B15" s="22">
        <f>HLOOKUP("q11mod1",[1]data_rep!$1:$1048576,VLOOKUP("EnsHZ",[1]data_rep!$A$1:$B$200,2,FALSE),FALSE)</f>
        <v>48.6</v>
      </c>
      <c r="C15" s="18">
        <f>HLOOKUP("q11mod2",[1]data_rep!$1:$1048576,VLOOKUP("EnsHZ",[1]data_rep!$A$1:$B$200,2,FALSE),FALSE)</f>
        <v>8.6</v>
      </c>
      <c r="D15" s="18">
        <f>HLOOKUP("q11mod3",[1]data_rep!$1:$1048576,VLOOKUP("EnsHZ",[1]data_rep!$A$1:$B$200,2,FALSE),FALSE)</f>
        <v>0.6</v>
      </c>
      <c r="E15" s="18">
        <f>HLOOKUP("q11mod4",[1]data_rep!$1:$1048576,VLOOKUP("EnsHZ",[1]data_rep!$A$1:$B$200,2,FALSE),FALSE)</f>
        <v>37.799999999999997</v>
      </c>
      <c r="F15" s="13">
        <f>HLOOKUP("q11mod5",[1]data_rep!$1:$1048576,VLOOKUP("EnsHZ",[1]data_rep!$A$1:$B$200,2,FALSE),FALSE)</f>
        <v>4.3999999999999995</v>
      </c>
      <c r="G15" s="69"/>
      <c r="H15" s="69"/>
      <c r="I15" s="69"/>
    </row>
    <row r="16" spans="1:9" x14ac:dyDescent="0.25">
      <c r="A16" s="6" t="s">
        <v>24</v>
      </c>
      <c r="B16" s="22">
        <f>HLOOKUP("q11mod1",[1]data_rep!$1:$1048576,VLOOKUP("EnsIZ",[1]data_rep!$A$1:$B$200,2,FALSE),FALSE)</f>
        <v>37.6</v>
      </c>
      <c r="C16" s="18">
        <f>HLOOKUP("q11mod2",[1]data_rep!$1:$1048576,VLOOKUP("EnsIZ",[1]data_rep!$A$1:$B$200,2,FALSE),FALSE)</f>
        <v>47.5</v>
      </c>
      <c r="D16" s="18">
        <f>HLOOKUP("q11mod3",[1]data_rep!$1:$1048576,VLOOKUP("EnsIZ",[1]data_rep!$A$1:$B$200,2,FALSE),FALSE)</f>
        <v>3.8</v>
      </c>
      <c r="E16" s="18">
        <f>HLOOKUP("q11mod4",[1]data_rep!$1:$1048576,VLOOKUP("EnsIZ",[1]data_rep!$A$1:$B$200,2,FALSE),FALSE)</f>
        <v>4.2</v>
      </c>
      <c r="F16" s="13">
        <f>HLOOKUP("q11mod5",[1]data_rep!$1:$1048576,VLOOKUP("EnsIZ",[1]data_rep!$A$1:$B$200,2,FALSE),FALSE)</f>
        <v>6.9</v>
      </c>
      <c r="G16" s="69"/>
      <c r="H16" s="69"/>
      <c r="I16" s="69"/>
    </row>
    <row r="17" spans="1:9" x14ac:dyDescent="0.25">
      <c r="A17" s="6" t="s">
        <v>25</v>
      </c>
      <c r="B17" s="22">
        <f>HLOOKUP("q11mod1",[1]data_rep!$1:$1048576,VLOOKUP("EnsJZ",[1]data_rep!$A$1:$B$200,2,FALSE),FALSE)</f>
        <v>69</v>
      </c>
      <c r="C17" s="18">
        <f>HLOOKUP("q11mod2",[1]data_rep!$1:$1048576,VLOOKUP("EnsJZ",[1]data_rep!$A$1:$B$200,2,FALSE),FALSE)</f>
        <v>7.6</v>
      </c>
      <c r="D17" s="18">
        <f>HLOOKUP("q11mod3",[1]data_rep!$1:$1048576,VLOOKUP("EnsJZ",[1]data_rep!$A$1:$B$200,2,FALSE),FALSE)</f>
        <v>1.7000000000000002</v>
      </c>
      <c r="E17" s="18">
        <f>HLOOKUP("q11mod4",[1]data_rep!$1:$1048576,VLOOKUP("EnsJZ",[1]data_rep!$A$1:$B$200,2,FALSE),FALSE)</f>
        <v>17</v>
      </c>
      <c r="F17" s="13">
        <f>HLOOKUP("q11mod5",[1]data_rep!$1:$1048576,VLOOKUP("EnsJZ",[1]data_rep!$A$1:$B$200,2,FALSE),FALSE)</f>
        <v>4.7</v>
      </c>
      <c r="G17" s="69"/>
      <c r="H17" s="69"/>
      <c r="I17" s="69"/>
    </row>
    <row r="18" spans="1:9" x14ac:dyDescent="0.25">
      <c r="A18" s="6" t="s">
        <v>26</v>
      </c>
      <c r="B18" s="22">
        <f>HLOOKUP("q11mod1",[1]data_rep!$1:$1048576,VLOOKUP("EnsKZ",[1]data_rep!$A$1:$B$200,2,FALSE),FALSE)</f>
        <v>20.5</v>
      </c>
      <c r="C18" s="18">
        <f>HLOOKUP("q11mod2",[1]data_rep!$1:$1048576,VLOOKUP("EnsKZ",[1]data_rep!$A$1:$B$200,2,FALSE),FALSE)</f>
        <v>4.7</v>
      </c>
      <c r="D18" s="18">
        <f>HLOOKUP("q11mod3",[1]data_rep!$1:$1048576,VLOOKUP("EnsKZ",[1]data_rep!$A$1:$B$200,2,FALSE),FALSE)</f>
        <v>1.4000000000000001</v>
      </c>
      <c r="E18" s="18">
        <f>HLOOKUP("q11mod4",[1]data_rep!$1:$1048576,VLOOKUP("EnsKZ",[1]data_rep!$A$1:$B$200,2,FALSE),FALSE)</f>
        <v>69.8</v>
      </c>
      <c r="F18" s="13">
        <f>HLOOKUP("q11mod5",[1]data_rep!$1:$1048576,VLOOKUP("EnsKZ",[1]data_rep!$A$1:$B$200,2,FALSE),FALSE)</f>
        <v>3.6999999999999997</v>
      </c>
      <c r="G18" s="69"/>
      <c r="H18" s="69"/>
      <c r="I18" s="69"/>
    </row>
    <row r="19" spans="1:9" x14ac:dyDescent="0.25">
      <c r="A19" s="6" t="s">
        <v>27</v>
      </c>
      <c r="B19" s="22">
        <f>HLOOKUP("q11mod1",[1]data_rep!$1:$1048576,VLOOKUP("EnsLZ",[1]data_rep!$A$1:$B$200,2,FALSE),FALSE)</f>
        <v>22.7</v>
      </c>
      <c r="C19" s="18">
        <f>HLOOKUP("q11mod2",[1]data_rep!$1:$1048576,VLOOKUP("EnsLZ",[1]data_rep!$A$1:$B$200,2,FALSE),FALSE)</f>
        <v>11.600000000000001</v>
      </c>
      <c r="D19" s="18" t="str">
        <f>HLOOKUP("q11mod3",[1]data_rep!$1:$1048576,VLOOKUP("EnsLZ",[1]data_rep!$A$1:$B$200,2,FALSE),FALSE)</f>
        <v>nd</v>
      </c>
      <c r="E19" s="18">
        <f>HLOOKUP("q11mod4",[1]data_rep!$1:$1048576,VLOOKUP("EnsLZ",[1]data_rep!$A$1:$B$200,2,FALSE),FALSE)</f>
        <v>60.3</v>
      </c>
      <c r="F19" s="13" t="s">
        <v>92</v>
      </c>
      <c r="G19" s="69"/>
      <c r="H19" s="69"/>
      <c r="I19" s="69"/>
    </row>
    <row r="20" spans="1:9" x14ac:dyDescent="0.25">
      <c r="A20" s="6" t="s">
        <v>28</v>
      </c>
      <c r="B20" s="22">
        <f>HLOOKUP("q11mod1",[1]data_rep!$1:$1048576,VLOOKUP("EnsMN",[1]data_rep!$A$1:$B$200,2,FALSE),FALSE)</f>
        <v>50.6</v>
      </c>
      <c r="C20" s="18">
        <f>HLOOKUP("q11mod2",[1]data_rep!$1:$1048576,VLOOKUP("EnsMN",[1]data_rep!$A$1:$B$200,2,FALSE),FALSE)</f>
        <v>17</v>
      </c>
      <c r="D20" s="18">
        <f>HLOOKUP("q11mod3",[1]data_rep!$1:$1048576,VLOOKUP("EnsMN",[1]data_rep!$A$1:$B$200,2,FALSE),FALSE)</f>
        <v>2.5</v>
      </c>
      <c r="E20" s="18">
        <f>HLOOKUP("q11mod4",[1]data_rep!$1:$1048576,VLOOKUP("EnsMN",[1]data_rep!$A$1:$B$200,2,FALSE),FALSE)</f>
        <v>23.200000000000003</v>
      </c>
      <c r="F20" s="13">
        <f>HLOOKUP("q11mod5",[1]data_rep!$1:$1048576,VLOOKUP("EnsMN",[1]data_rep!$A$1:$B$200,2,FALSE),FALSE)</f>
        <v>6.7</v>
      </c>
      <c r="G20" s="69"/>
      <c r="H20" s="69"/>
      <c r="I20" s="69"/>
    </row>
    <row r="21" spans="1:9" x14ac:dyDescent="0.25">
      <c r="A21" s="6" t="s">
        <v>29</v>
      </c>
      <c r="B21" s="22">
        <f>HLOOKUP("q11mod1",[1]data_rep!$1:$1048576,VLOOKUP("EnsOQ",[1]data_rep!$A$1:$B$200,2,FALSE),FALSE)</f>
        <v>16.900000000000002</v>
      </c>
      <c r="C21" s="18">
        <f>HLOOKUP("q11mod2",[1]data_rep!$1:$1048576,VLOOKUP("EnsOQ",[1]data_rep!$A$1:$B$200,2,FALSE),FALSE)</f>
        <v>9.9</v>
      </c>
      <c r="D21" s="18">
        <f>HLOOKUP("q11mod3",[1]data_rep!$1:$1048576,VLOOKUP("EnsOQ",[1]data_rep!$A$1:$B$200,2,FALSE),FALSE)</f>
        <v>3</v>
      </c>
      <c r="E21" s="18">
        <f>HLOOKUP("q11mod4",[1]data_rep!$1:$1048576,VLOOKUP("EnsOQ",[1]data_rep!$A$1:$B$200,2,FALSE),FALSE)</f>
        <v>65</v>
      </c>
      <c r="F21" s="13">
        <f>HLOOKUP("q11mod5",[1]data_rep!$1:$1048576,VLOOKUP("EnsOQ",[1]data_rep!$A$1:$B$200,2,FALSE),FALSE)</f>
        <v>5.3</v>
      </c>
      <c r="G21" s="69"/>
      <c r="H21" s="69"/>
      <c r="I21" s="69"/>
    </row>
    <row r="22" spans="1:9" x14ac:dyDescent="0.25">
      <c r="A22" s="7" t="s">
        <v>30</v>
      </c>
      <c r="B22" s="23">
        <f>HLOOKUP("q11mod1",[1]data_rep!$1:$1048576,VLOOKUP("EnsRU",[1]data_rep!$A$1:$B$200,2,FALSE),FALSE)</f>
        <v>19.600000000000001</v>
      </c>
      <c r="C22" s="20">
        <f>HLOOKUP("q11mod2",[1]data_rep!$1:$1048576,VLOOKUP("EnsRU",[1]data_rep!$A$1:$B$200,2,FALSE),FALSE)</f>
        <v>43.7</v>
      </c>
      <c r="D22" s="20">
        <f>HLOOKUP("q11mod3",[1]data_rep!$1:$1048576,VLOOKUP("EnsRU",[1]data_rep!$A$1:$B$200,2,FALSE),FALSE)</f>
        <v>3.5999999999999996</v>
      </c>
      <c r="E22" s="20">
        <f>HLOOKUP("q11mod4",[1]data_rep!$1:$1048576,VLOOKUP("EnsRU",[1]data_rep!$A$1:$B$200,2,FALSE),FALSE)</f>
        <v>26.400000000000002</v>
      </c>
      <c r="F22" s="14">
        <f>HLOOKUP("q11mod5",[1]data_rep!$1:$1048576,VLOOKUP("EnsRU",[1]data_rep!$A$1:$B$200,2,FALSE),FALSE)</f>
        <v>6.6000000000000005</v>
      </c>
      <c r="G22" s="69"/>
      <c r="H22" s="69"/>
      <c r="I22" s="69"/>
    </row>
    <row r="23" spans="1:9" x14ac:dyDescent="0.25">
      <c r="A23" s="8" t="s">
        <v>116</v>
      </c>
      <c r="B23" s="71"/>
      <c r="C23" s="71"/>
      <c r="D23" s="71"/>
      <c r="E23" s="71"/>
      <c r="F23" s="71"/>
    </row>
    <row r="24" spans="1:9" x14ac:dyDescent="0.25">
      <c r="A24" s="8" t="s">
        <v>7</v>
      </c>
      <c r="B24" s="71"/>
      <c r="C24" s="71"/>
      <c r="D24" s="71"/>
      <c r="E24" s="71"/>
      <c r="F24" s="71"/>
    </row>
  </sheetData>
  <hyperlinks>
    <hyperlink ref="D1" location="'Lisez-moi'!A1" display="Retour au sommaire"/>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F24" sqref="F24"/>
    </sheetView>
  </sheetViews>
  <sheetFormatPr baseColWidth="10" defaultRowHeight="15" x14ac:dyDescent="0.25"/>
  <cols>
    <col min="1" max="1" width="85.140625" customWidth="1"/>
  </cols>
  <sheetData>
    <row r="1" spans="1:6" s="71" customFormat="1" x14ac:dyDescent="0.25">
      <c r="A1" s="4" t="s">
        <v>155</v>
      </c>
      <c r="F1" s="76" t="s">
        <v>111</v>
      </c>
    </row>
    <row r="2" spans="1:6" s="71" customFormat="1" x14ac:dyDescent="0.25">
      <c r="A2" s="4"/>
      <c r="F2" s="76"/>
    </row>
    <row r="3" spans="1:6" x14ac:dyDescent="0.25">
      <c r="A3" s="71" t="s">
        <v>160</v>
      </c>
      <c r="B3" s="78"/>
      <c r="C3" s="78"/>
      <c r="D3" s="82"/>
      <c r="E3" s="82"/>
    </row>
    <row r="5" spans="1:6" x14ac:dyDescent="0.25">
      <c r="A5" s="5" t="s">
        <v>156</v>
      </c>
      <c r="B5" s="79">
        <f>HLOOKUP("q12mod1",[1]data_rep!$1:$1048576,VLOOKUP("EnsEns",[1]data_rep!$A$1:$B$200,2,FALSE),FALSE)</f>
        <v>8.4</v>
      </c>
      <c r="C5" s="78"/>
      <c r="D5" s="82"/>
      <c r="E5" s="83"/>
    </row>
    <row r="6" spans="1:6" x14ac:dyDescent="0.25">
      <c r="A6" s="6" t="s">
        <v>157</v>
      </c>
      <c r="B6" s="80">
        <f>HLOOKUP("q12mod2",[1]data_rep!$1:$1048576,VLOOKUP("EnsEns",[1]data_rep!$A$1:$B$200,2,FALSE),FALSE)</f>
        <v>2.6</v>
      </c>
      <c r="C6" s="78"/>
      <c r="D6" s="82"/>
      <c r="E6" s="83"/>
    </row>
    <row r="7" spans="1:6" x14ac:dyDescent="0.25">
      <c r="A7" s="6" t="s">
        <v>158</v>
      </c>
      <c r="B7" s="80">
        <f>HLOOKUP("q12mod3",[1]data_rep!$1:$1048576,VLOOKUP("EnsEns",[1]data_rep!$A$1:$B$200,2,FALSE),FALSE)</f>
        <v>5.4</v>
      </c>
      <c r="C7" s="78"/>
      <c r="D7" s="82"/>
      <c r="E7" s="83"/>
    </row>
    <row r="8" spans="1:6" x14ac:dyDescent="0.25">
      <c r="A8" s="6" t="s">
        <v>57</v>
      </c>
      <c r="B8" s="80">
        <f>HLOOKUP("q12mod4",[1]data_rep!$1:$1048576,VLOOKUP("EnsEns",[1]data_rep!$A$1:$B$200,2,FALSE),FALSE)</f>
        <v>70.599999999999994</v>
      </c>
      <c r="C8" s="78"/>
      <c r="D8" s="84"/>
      <c r="E8" s="84"/>
    </row>
    <row r="9" spans="1:6" x14ac:dyDescent="0.25">
      <c r="A9" s="7" t="s">
        <v>72</v>
      </c>
      <c r="B9" s="81">
        <f>HLOOKUP("q12mod5",[1]data_rep!$1:$1048576,VLOOKUP("EnsEns",[1]data_rep!$A$1:$B$200,2,FALSE),FALSE)</f>
        <v>13.100000000000001</v>
      </c>
      <c r="C9" s="78"/>
      <c r="D9" s="82"/>
      <c r="E9" s="83"/>
    </row>
    <row r="10" spans="1:6" x14ac:dyDescent="0.25">
      <c r="A10" s="8" t="s">
        <v>159</v>
      </c>
      <c r="B10" s="71"/>
      <c r="C10" s="71"/>
      <c r="D10" s="71"/>
      <c r="E10" s="71"/>
    </row>
    <row r="11" spans="1:6" x14ac:dyDescent="0.25">
      <c r="A11" s="8" t="s">
        <v>116</v>
      </c>
      <c r="B11" s="71"/>
      <c r="C11" s="71"/>
      <c r="D11" s="71"/>
      <c r="E11" s="71"/>
    </row>
    <row r="12" spans="1:6" x14ac:dyDescent="0.25">
      <c r="A12" s="8" t="s">
        <v>7</v>
      </c>
      <c r="B12" s="71"/>
      <c r="C12" s="71"/>
      <c r="D12" s="71"/>
      <c r="E12" s="71"/>
    </row>
  </sheetData>
  <hyperlinks>
    <hyperlink ref="F1" location="'Lisez-moi'!A1" display="Retour au sommair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opLeftCell="A7" workbookViewId="0">
      <selection activeCell="I21" sqref="I21"/>
    </sheetView>
  </sheetViews>
  <sheetFormatPr baseColWidth="10" defaultRowHeight="15" x14ac:dyDescent="0.25"/>
  <cols>
    <col min="1" max="1" width="74.7109375" customWidth="1"/>
  </cols>
  <sheetData>
    <row r="1" spans="1:8" s="71" customFormat="1" x14ac:dyDescent="0.25">
      <c r="A1" s="4" t="s">
        <v>155</v>
      </c>
      <c r="F1" s="76" t="s">
        <v>111</v>
      </c>
    </row>
    <row r="3" spans="1:8" x14ac:dyDescent="0.25">
      <c r="A3" s="71" t="s">
        <v>161</v>
      </c>
      <c r="B3" s="71"/>
      <c r="C3" s="71"/>
      <c r="D3" s="71"/>
      <c r="E3" s="71"/>
      <c r="F3" s="71"/>
      <c r="G3" s="71"/>
      <c r="H3" s="71"/>
    </row>
    <row r="4" spans="1:8" x14ac:dyDescent="0.25">
      <c r="A4" s="71"/>
      <c r="B4" s="38" t="s">
        <v>44</v>
      </c>
      <c r="C4" s="34" t="s">
        <v>8</v>
      </c>
      <c r="D4" s="31" t="s">
        <v>9</v>
      </c>
      <c r="E4" s="31" t="s">
        <v>10</v>
      </c>
      <c r="F4" s="31" t="s">
        <v>11</v>
      </c>
      <c r="G4" s="31" t="s">
        <v>12</v>
      </c>
      <c r="H4" s="32" t="s">
        <v>13</v>
      </c>
    </row>
    <row r="5" spans="1:8" x14ac:dyDescent="0.25">
      <c r="A5" s="5" t="s">
        <v>156</v>
      </c>
      <c r="B5" s="27">
        <f>HLOOKUP("q12mod1",[1]data_rep!$1:$1048576,VLOOKUP("EnsEns",[1]data_rep!$A$1:$B$200,2,FALSE),FALSE)</f>
        <v>8.4</v>
      </c>
      <c r="C5" s="22">
        <f>HLOOKUP("q12mod1",[1]data_rep!$1:$1048576,VLOOKUP("1Ens",[1]data_rep!$A$1:$B$200,2,FALSE),FALSE)</f>
        <v>3.4000000000000004</v>
      </c>
      <c r="D5" s="18">
        <f>HLOOKUP("q12mod1",[1]data_rep!$1:$1048576,VLOOKUP("2Ens",[1]data_rep!$A$1:$B$200,2,FALSE),FALSE)</f>
        <v>6</v>
      </c>
      <c r="E5" s="18">
        <f>HLOOKUP("q12mod1",[1]data_rep!$1:$1048576,VLOOKUP("3Ens",[1]data_rep!$A$1:$B$200,2,FALSE),FALSE)</f>
        <v>7.9</v>
      </c>
      <c r="F5" s="18">
        <f>HLOOKUP("q12mod1",[1]data_rep!$1:$1048576,VLOOKUP("4Ens",[1]data_rep!$A$1:$B$200,2,FALSE),FALSE)</f>
        <v>11.1</v>
      </c>
      <c r="G5" s="18">
        <f>HLOOKUP("q12mod1",[1]data_rep!$1:$1048576,VLOOKUP("5Ens",[1]data_rep!$A$1:$B$200,2,FALSE),FALSE)</f>
        <v>11</v>
      </c>
      <c r="H5" s="13">
        <f>HLOOKUP("q12mod1",[1]data_rep!$1:$1048576,VLOOKUP("6Ens",[1]data_rep!$A$1:$B$200,2,FALSE),FALSE)</f>
        <v>8.6999999999999993</v>
      </c>
    </row>
    <row r="6" spans="1:8" x14ac:dyDescent="0.25">
      <c r="A6" s="6" t="s">
        <v>157</v>
      </c>
      <c r="B6" s="28">
        <f>HLOOKUP("q12mod2",[1]data_rep!$1:$1048576,VLOOKUP("EnsEns",[1]data_rep!$A$1:$B$200,2,FALSE),FALSE)</f>
        <v>2.6</v>
      </c>
      <c r="C6" s="22">
        <f>HLOOKUP("q12mod2",[1]data_rep!$1:$1048576,VLOOKUP("1Ens",[1]data_rep!$A$1:$B$200,2,FALSE),FALSE)</f>
        <v>1.2</v>
      </c>
      <c r="D6" s="18">
        <f>HLOOKUP("q12mod2",[1]data_rep!$1:$1048576,VLOOKUP("2Ens",[1]data_rep!$A$1:$B$200,2,FALSE),FALSE)</f>
        <v>2.1</v>
      </c>
      <c r="E6" s="18">
        <f>HLOOKUP("q12mod2",[1]data_rep!$1:$1048576,VLOOKUP("3Ens",[1]data_rep!$A$1:$B$200,2,FALSE),FALSE)</f>
        <v>3.6999999999999997</v>
      </c>
      <c r="F6" s="18">
        <f>HLOOKUP("q12mod2",[1]data_rep!$1:$1048576,VLOOKUP("4Ens",[1]data_rep!$A$1:$B$200,2,FALSE),FALSE)</f>
        <v>3.5000000000000004</v>
      </c>
      <c r="G6" s="18">
        <f>HLOOKUP("q12mod2",[1]data_rep!$1:$1048576,VLOOKUP("5Ens",[1]data_rep!$A$1:$B$200,2,FALSE),FALSE)</f>
        <v>2.8000000000000003</v>
      </c>
      <c r="H6" s="13">
        <f>HLOOKUP("q12mod2",[1]data_rep!$1:$1048576,VLOOKUP("6Ens",[1]data_rep!$A$1:$B$200,2,FALSE),FALSE)</f>
        <v>2.5</v>
      </c>
    </row>
    <row r="7" spans="1:8" x14ac:dyDescent="0.25">
      <c r="A7" s="6" t="s">
        <v>158</v>
      </c>
      <c r="B7" s="28">
        <f>HLOOKUP("q12mod3",[1]data_rep!$1:$1048576,VLOOKUP("EnsEns",[1]data_rep!$A$1:$B$200,2,FALSE),FALSE)</f>
        <v>5.4</v>
      </c>
      <c r="C7" s="22">
        <f>HLOOKUP("q12mod3",[1]data_rep!$1:$1048576,VLOOKUP("1Ens",[1]data_rep!$A$1:$B$200,2,FALSE),FALSE)</f>
        <v>2.4</v>
      </c>
      <c r="D7" s="18">
        <f>HLOOKUP("q12mod3",[1]data_rep!$1:$1048576,VLOOKUP("2Ens",[1]data_rep!$A$1:$B$200,2,FALSE),FALSE)</f>
        <v>3.5000000000000004</v>
      </c>
      <c r="E7" s="18">
        <f>HLOOKUP("q12mod3",[1]data_rep!$1:$1048576,VLOOKUP("3Ens",[1]data_rep!$A$1:$B$200,2,FALSE),FALSE)</f>
        <v>2.2999999999999998</v>
      </c>
      <c r="F7" s="18">
        <f>HLOOKUP("q12mod3",[1]data_rep!$1:$1048576,VLOOKUP("4Ens",[1]data_rep!$A$1:$B$200,2,FALSE),FALSE)</f>
        <v>3.5000000000000004</v>
      </c>
      <c r="G7" s="18">
        <f>HLOOKUP("q12mod3",[1]data_rep!$1:$1048576,VLOOKUP("5Ens",[1]data_rep!$A$1:$B$200,2,FALSE),FALSE)</f>
        <v>3.9</v>
      </c>
      <c r="H7" s="13">
        <f>HLOOKUP("q12mod3",[1]data_rep!$1:$1048576,VLOOKUP("6Ens",[1]data_rep!$A$1:$B$200,2,FALSE),FALSE)</f>
        <v>8.5</v>
      </c>
    </row>
    <row r="8" spans="1:8" x14ac:dyDescent="0.25">
      <c r="A8" s="6" t="s">
        <v>57</v>
      </c>
      <c r="B8" s="28">
        <f>HLOOKUP("q12mod4",[1]data_rep!$1:$1048576,VLOOKUP("EnsEns",[1]data_rep!$A$1:$B$200,2,FALSE),FALSE)</f>
        <v>70.599999999999994</v>
      </c>
      <c r="C8" s="22">
        <f>HLOOKUP("q12mod4",[1]data_rep!$1:$1048576,VLOOKUP("1Ens",[1]data_rep!$A$1:$B$200,2,FALSE),FALSE)</f>
        <v>89.4</v>
      </c>
      <c r="D8" s="18">
        <f>HLOOKUP("q12mod4",[1]data_rep!$1:$1048576,VLOOKUP("2Ens",[1]data_rep!$A$1:$B$200,2,FALSE),FALSE)</f>
        <v>85</v>
      </c>
      <c r="E8" s="18">
        <f>HLOOKUP("q12mod4",[1]data_rep!$1:$1048576,VLOOKUP("3Ens",[1]data_rep!$A$1:$B$200,2,FALSE),FALSE)</f>
        <v>80.400000000000006</v>
      </c>
      <c r="F8" s="18">
        <f>HLOOKUP("q12mod4",[1]data_rep!$1:$1048576,VLOOKUP("4Ens",[1]data_rep!$A$1:$B$200,2,FALSE),FALSE)</f>
        <v>74.900000000000006</v>
      </c>
      <c r="G8" s="18">
        <f>HLOOKUP("q12mod4",[1]data_rep!$1:$1048576,VLOOKUP("5Ens",[1]data_rep!$A$1:$B$200,2,FALSE),FALSE)</f>
        <v>72.7</v>
      </c>
      <c r="H8" s="13">
        <f>HLOOKUP("q12mod4",[1]data_rep!$1:$1048576,VLOOKUP("6Ens",[1]data_rep!$A$1:$B$200,2,FALSE),FALSE)</f>
        <v>56.999999999999993</v>
      </c>
    </row>
    <row r="9" spans="1:8" x14ac:dyDescent="0.25">
      <c r="A9" s="7" t="s">
        <v>72</v>
      </c>
      <c r="B9" s="29">
        <f>HLOOKUP("q12mod5",[1]data_rep!$1:$1048576,VLOOKUP("EnsEns",[1]data_rep!$A$1:$B$200,2,FALSE),FALSE)</f>
        <v>13.100000000000001</v>
      </c>
      <c r="C9" s="23">
        <f>HLOOKUP("q12mod5",[1]data_rep!$1:$1048576,VLOOKUP("1Ens",[1]data_rep!$A$1:$B$200,2,FALSE),FALSE)</f>
        <v>3.5999999999999996</v>
      </c>
      <c r="D9" s="20">
        <f>HLOOKUP("q12mod5",[1]data_rep!$1:$1048576,VLOOKUP("2Ens",[1]data_rep!$A$1:$B$200,2,FALSE),FALSE)</f>
        <v>3.5000000000000004</v>
      </c>
      <c r="E9" s="20">
        <f>HLOOKUP("q12mod5",[1]data_rep!$1:$1048576,VLOOKUP("3Ens",[1]data_rep!$A$1:$B$200,2,FALSE),FALSE)</f>
        <v>5.6000000000000005</v>
      </c>
      <c r="F9" s="20">
        <f>HLOOKUP("q12mod5",[1]data_rep!$1:$1048576,VLOOKUP("4Ens",[1]data_rep!$A$1:$B$200,2,FALSE),FALSE)</f>
        <v>7.1</v>
      </c>
      <c r="G9" s="20">
        <f>HLOOKUP("q12mod5",[1]data_rep!$1:$1048576,VLOOKUP("5Ens",[1]data_rep!$A$1:$B$200,2,FALSE),FALSE)</f>
        <v>9.5</v>
      </c>
      <c r="H9" s="14">
        <f>HLOOKUP("q12mod5",[1]data_rep!$1:$1048576,VLOOKUP("6Ens",[1]data_rep!$A$1:$B$200,2,FALSE),FALSE)</f>
        <v>23.200000000000003</v>
      </c>
    </row>
    <row r="10" spans="1:8" x14ac:dyDescent="0.25">
      <c r="A10" s="8" t="s">
        <v>116</v>
      </c>
      <c r="B10" s="71"/>
      <c r="C10" s="71"/>
      <c r="D10" s="71"/>
      <c r="E10" s="71"/>
      <c r="F10" s="71"/>
      <c r="G10" s="71"/>
      <c r="H10" s="71"/>
    </row>
    <row r="11" spans="1:8" x14ac:dyDescent="0.25">
      <c r="A11" s="8" t="s">
        <v>7</v>
      </c>
      <c r="B11" s="71"/>
      <c r="C11" s="71"/>
      <c r="D11" s="71"/>
      <c r="E11" s="71"/>
      <c r="F11" s="71"/>
      <c r="G11" s="71"/>
      <c r="H11" s="71"/>
    </row>
  </sheetData>
  <hyperlinks>
    <hyperlink ref="F1" location="'Lisez-moi'!A1" display="Retour au sommair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K20" sqref="K20"/>
    </sheetView>
  </sheetViews>
  <sheetFormatPr baseColWidth="10" defaultRowHeight="15" x14ac:dyDescent="0.25"/>
  <cols>
    <col min="1" max="1" width="92.7109375" customWidth="1"/>
  </cols>
  <sheetData>
    <row r="1" spans="1:7" s="71" customFormat="1" x14ac:dyDescent="0.25">
      <c r="A1" s="4" t="s">
        <v>155</v>
      </c>
      <c r="F1" s="76" t="s">
        <v>111</v>
      </c>
    </row>
    <row r="3" spans="1:7" x14ac:dyDescent="0.25">
      <c r="A3" s="71" t="s">
        <v>162</v>
      </c>
      <c r="B3" s="71"/>
      <c r="C3" s="71"/>
      <c r="D3" s="71"/>
      <c r="E3" s="71"/>
      <c r="F3" s="71"/>
    </row>
    <row r="4" spans="1:7" s="71" customFormat="1" x14ac:dyDescent="0.25"/>
    <row r="5" spans="1:7" ht="146.25" x14ac:dyDescent="0.25">
      <c r="A5" s="71"/>
      <c r="B5" s="51" t="s">
        <v>156</v>
      </c>
      <c r="C5" s="47" t="s">
        <v>157</v>
      </c>
      <c r="D5" s="47" t="s">
        <v>158</v>
      </c>
      <c r="E5" s="47" t="s">
        <v>57</v>
      </c>
      <c r="F5" s="50" t="s">
        <v>72</v>
      </c>
      <c r="G5" s="86" t="s">
        <v>92</v>
      </c>
    </row>
    <row r="6" spans="1:7" x14ac:dyDescent="0.25">
      <c r="A6" s="42" t="s">
        <v>0</v>
      </c>
      <c r="B6" s="23">
        <f>HLOOKUP("q12mod1",[1]data_rep!$1:$1048576,VLOOKUP("EnsEns",[1]data_rep!$A$1:$B$200,2,FALSE),FALSE)</f>
        <v>8.4</v>
      </c>
      <c r="C6" s="20">
        <f>HLOOKUP("q12mod2",[1]data_rep!$1:$1048576,VLOOKUP("EnsEns",[1]data_rep!$A$1:$B$200,2,FALSE),FALSE)</f>
        <v>2.6</v>
      </c>
      <c r="D6" s="20">
        <f>HLOOKUP("q12mod3",[1]data_rep!$1:$1048576,VLOOKUP("EnsEns",[1]data_rep!$A$1:$B$200,2,FALSE),FALSE)</f>
        <v>5.4</v>
      </c>
      <c r="E6" s="20">
        <f>HLOOKUP("q12mod4",[1]data_rep!$1:$1048576,VLOOKUP("EnsEns",[1]data_rep!$A$1:$B$200,2,FALSE),FALSE)</f>
        <v>70.599999999999994</v>
      </c>
      <c r="F6" s="14">
        <f>HLOOKUP("q12mod5",[1]data_rep!$1:$1048576,VLOOKUP("EnsEns",[1]data_rep!$A$1:$B$200,2,FALSE),FALSE)</f>
        <v>13.100000000000001</v>
      </c>
      <c r="G6" s="85"/>
    </row>
    <row r="7" spans="1:7" x14ac:dyDescent="0.25">
      <c r="A7" s="6" t="s">
        <v>51</v>
      </c>
      <c r="B7" s="22" t="str">
        <f>HLOOKUP("q12mod1",[1]data_rep!$1:$1048576,VLOOKUP("EnsDE",[1]data_rep!$A$1:$B$200,2,FALSE),FALSE)</f>
        <v>nd</v>
      </c>
      <c r="C7" s="18" t="str">
        <f>HLOOKUP("q12mod2",[1]data_rep!$1:$1048576,VLOOKUP("EnsDE",[1]data_rep!$A$1:$B$200,2,FALSE),FALSE)</f>
        <v>nd</v>
      </c>
      <c r="D7" s="18" t="str">
        <f>HLOOKUP("q12mod3",[1]data_rep!$1:$1048576,VLOOKUP("EnsDE",[1]data_rep!$A$1:$B$200,2,FALSE),FALSE)</f>
        <v>nd</v>
      </c>
      <c r="E7" s="18">
        <f>HLOOKUP("q12mod4",[1]data_rep!$1:$1048576,VLOOKUP("EnsDE",[1]data_rep!$A$1:$B$200,2,FALSE),FALSE)</f>
        <v>60.199999999999996</v>
      </c>
      <c r="F7" s="13">
        <f>HLOOKUP("q12mod5",[1]data_rep!$1:$1048576,VLOOKUP("EnsDE",[1]data_rep!$A$1:$B$200,2,FALSE),FALSE)</f>
        <v>35.199999999999996</v>
      </c>
      <c r="G7" s="35">
        <f>100-SUM(B7:F7)</f>
        <v>4.6000000000000085</v>
      </c>
    </row>
    <row r="8" spans="1:7" x14ac:dyDescent="0.25">
      <c r="A8" s="6" t="s">
        <v>16</v>
      </c>
      <c r="B8" s="22">
        <f>HLOOKUP("q12mod1",[1]data_rep!$1:$1048576,VLOOKUP("EnsC1",[1]data_rep!$A$1:$B$200,2,FALSE),FALSE)</f>
        <v>3.6999999999999997</v>
      </c>
      <c r="C8" s="18">
        <f>HLOOKUP("q12mod2",[1]data_rep!$1:$1048576,VLOOKUP("EnsC1",[1]data_rep!$A$1:$B$200,2,FALSE),FALSE)</f>
        <v>1.6</v>
      </c>
      <c r="D8" s="18">
        <f>HLOOKUP("q12mod3",[1]data_rep!$1:$1048576,VLOOKUP("EnsC1",[1]data_rep!$A$1:$B$200,2,FALSE),FALSE)</f>
        <v>0.89999999999999991</v>
      </c>
      <c r="E8" s="18">
        <f>HLOOKUP("q12mod4",[1]data_rep!$1:$1048576,VLOOKUP("EnsC1",[1]data_rep!$A$1:$B$200,2,FALSE),FALSE)</f>
        <v>87.3</v>
      </c>
      <c r="F8" s="13">
        <f>HLOOKUP("q12mod5",[1]data_rep!$1:$1048576,VLOOKUP("EnsC1",[1]data_rep!$A$1:$B$200,2,FALSE),FALSE)</f>
        <v>6.5</v>
      </c>
      <c r="G8" s="46"/>
    </row>
    <row r="9" spans="1:7" x14ac:dyDescent="0.25">
      <c r="A9" s="6" t="s">
        <v>17</v>
      </c>
      <c r="B9" s="22">
        <f>HLOOKUP("q12mod1",[1]data_rep!$1:$1048576,VLOOKUP("EnsC2",[1]data_rep!$A$1:$B$200,2,FALSE),FALSE)</f>
        <v>0</v>
      </c>
      <c r="C9" s="18">
        <f>HLOOKUP("q12mod2",[1]data_rep!$1:$1048576,VLOOKUP("EnsC2",[1]data_rep!$A$1:$B$200,2,FALSE),FALSE)</f>
        <v>0</v>
      </c>
      <c r="D9" s="18">
        <f>HLOOKUP("q12mod3",[1]data_rep!$1:$1048576,VLOOKUP("EnsC2",[1]data_rep!$A$1:$B$200,2,FALSE),FALSE)</f>
        <v>0</v>
      </c>
      <c r="E9" s="18">
        <f>HLOOKUP("q12mod4",[1]data_rep!$1:$1048576,VLOOKUP("EnsC2",[1]data_rep!$A$1:$B$200,2,FALSE),FALSE)</f>
        <v>100</v>
      </c>
      <c r="F9" s="13">
        <f>HLOOKUP("q12mod5",[1]data_rep!$1:$1048576,VLOOKUP("EnsC2",[1]data_rep!$A$1:$B$200,2,FALSE),FALSE)</f>
        <v>0</v>
      </c>
      <c r="G9" s="46"/>
    </row>
    <row r="10" spans="1:7" x14ac:dyDescent="0.25">
      <c r="A10" s="6" t="s">
        <v>18</v>
      </c>
      <c r="B10" s="22">
        <f>HLOOKUP("q12mod1",[1]data_rep!$1:$1048576,VLOOKUP("EnsC3",[1]data_rep!$A$1:$B$200,2,FALSE),FALSE)</f>
        <v>13.600000000000001</v>
      </c>
      <c r="C10" s="18">
        <f>HLOOKUP("q12mod2",[1]data_rep!$1:$1048576,VLOOKUP("EnsC3",[1]data_rep!$A$1:$B$200,2,FALSE),FALSE)</f>
        <v>8.4</v>
      </c>
      <c r="D10" s="18">
        <f>HLOOKUP("q12mod3",[1]data_rep!$1:$1048576,VLOOKUP("EnsC3",[1]data_rep!$A$1:$B$200,2,FALSE),FALSE)</f>
        <v>5.8999999999999995</v>
      </c>
      <c r="E10" s="18">
        <f>HLOOKUP("q12mod4",[1]data_rep!$1:$1048576,VLOOKUP("EnsC3",[1]data_rep!$A$1:$B$200,2,FALSE),FALSE)</f>
        <v>60.9</v>
      </c>
      <c r="F10" s="13">
        <f>HLOOKUP("q12mod5",[1]data_rep!$1:$1048576,VLOOKUP("EnsC3",[1]data_rep!$A$1:$B$200,2,FALSE),FALSE)</f>
        <v>11.3</v>
      </c>
      <c r="G10" s="46"/>
    </row>
    <row r="11" spans="1:7" x14ac:dyDescent="0.25">
      <c r="A11" s="6" t="s">
        <v>19</v>
      </c>
      <c r="B11" s="22">
        <f>HLOOKUP("q12mod1",[1]data_rep!$1:$1048576,VLOOKUP("EnsC4",[1]data_rep!$A$1:$B$200,2,FALSE),FALSE)</f>
        <v>17.899999999999999</v>
      </c>
      <c r="C11" s="18">
        <f>HLOOKUP("q12mod2",[1]data_rep!$1:$1048576,VLOOKUP("EnsC4",[1]data_rep!$A$1:$B$200,2,FALSE),FALSE)</f>
        <v>2.9000000000000004</v>
      </c>
      <c r="D11" s="18">
        <f>HLOOKUP("q12mod3",[1]data_rep!$1:$1048576,VLOOKUP("EnsC4",[1]data_rep!$A$1:$B$200,2,FALSE),FALSE)</f>
        <v>8.1</v>
      </c>
      <c r="E11" s="18">
        <f>HLOOKUP("q12mod4",[1]data_rep!$1:$1048576,VLOOKUP("EnsC4",[1]data_rep!$A$1:$B$200,2,FALSE),FALSE)</f>
        <v>38</v>
      </c>
      <c r="F11" s="13">
        <f>HLOOKUP("q12mod5",[1]data_rep!$1:$1048576,VLOOKUP("EnsC4",[1]data_rep!$A$1:$B$200,2,FALSE),FALSE)</f>
        <v>33.1</v>
      </c>
      <c r="G11" s="46"/>
    </row>
    <row r="12" spans="1:7" x14ac:dyDescent="0.25">
      <c r="A12" s="6" t="s">
        <v>20</v>
      </c>
      <c r="B12" s="22">
        <f>HLOOKUP("q12mod1",[1]data_rep!$1:$1048576,VLOOKUP("EnsC5",[1]data_rep!$A$1:$B$200,2,FALSE),FALSE)</f>
        <v>12.4</v>
      </c>
      <c r="C12" s="18">
        <f>HLOOKUP("q12mod2",[1]data_rep!$1:$1048576,VLOOKUP("EnsC5",[1]data_rep!$A$1:$B$200,2,FALSE),FALSE)</f>
        <v>4.1000000000000005</v>
      </c>
      <c r="D12" s="18">
        <f>HLOOKUP("q12mod3",[1]data_rep!$1:$1048576,VLOOKUP("EnsC5",[1]data_rep!$A$1:$B$200,2,FALSE),FALSE)</f>
        <v>6.5</v>
      </c>
      <c r="E12" s="18">
        <f>HLOOKUP("q12mod4",[1]data_rep!$1:$1048576,VLOOKUP("EnsC5",[1]data_rep!$A$1:$B$200,2,FALSE),FALSE)</f>
        <v>67.300000000000011</v>
      </c>
      <c r="F12" s="13">
        <f>HLOOKUP("q12mod5",[1]data_rep!$1:$1048576,VLOOKUP("EnsC5",[1]data_rep!$A$1:$B$200,2,FALSE),FALSE)</f>
        <v>9.6</v>
      </c>
      <c r="G12" s="46"/>
    </row>
    <row r="13" spans="1:7" x14ac:dyDescent="0.25">
      <c r="A13" s="6" t="s">
        <v>21</v>
      </c>
      <c r="B13" s="22">
        <f>HLOOKUP("q12mod1",[1]data_rep!$1:$1048576,VLOOKUP("EnsFZ",[1]data_rep!$A$1:$B$200,2,FALSE),FALSE)</f>
        <v>1.7000000000000002</v>
      </c>
      <c r="C13" s="18">
        <f>HLOOKUP("q12mod2",[1]data_rep!$1:$1048576,VLOOKUP("EnsFZ",[1]data_rep!$A$1:$B$200,2,FALSE),FALSE)</f>
        <v>2.5</v>
      </c>
      <c r="D13" s="18">
        <f>HLOOKUP("q12mod3",[1]data_rep!$1:$1048576,VLOOKUP("EnsFZ",[1]data_rep!$A$1:$B$200,2,FALSE),FALSE)</f>
        <v>2.9000000000000004</v>
      </c>
      <c r="E13" s="18">
        <f>HLOOKUP("q12mod4",[1]data_rep!$1:$1048576,VLOOKUP("EnsFZ",[1]data_rep!$A$1:$B$200,2,FALSE),FALSE)</f>
        <v>77.5</v>
      </c>
      <c r="F13" s="13">
        <f>HLOOKUP("q12mod5",[1]data_rep!$1:$1048576,VLOOKUP("EnsFZ",[1]data_rep!$A$1:$B$200,2,FALSE),FALSE)</f>
        <v>15.299999999999999</v>
      </c>
      <c r="G13" s="46"/>
    </row>
    <row r="14" spans="1:7" x14ac:dyDescent="0.25">
      <c r="A14" s="6" t="s">
        <v>22</v>
      </c>
      <c r="B14" s="22">
        <f>HLOOKUP("q12mod1",[1]data_rep!$1:$1048576,VLOOKUP("EnsGZ",[1]data_rep!$A$1:$B$200,2,FALSE),FALSE)</f>
        <v>5.7</v>
      </c>
      <c r="C14" s="18">
        <f>HLOOKUP("q12mod2",[1]data_rep!$1:$1048576,VLOOKUP("EnsGZ",[1]data_rep!$A$1:$B$200,2,FALSE),FALSE)</f>
        <v>1.5</v>
      </c>
      <c r="D14" s="18">
        <f>HLOOKUP("q12mod3",[1]data_rep!$1:$1048576,VLOOKUP("EnsGZ",[1]data_rep!$A$1:$B$200,2,FALSE),FALSE)</f>
        <v>3.1</v>
      </c>
      <c r="E14" s="18">
        <f>HLOOKUP("q12mod4",[1]data_rep!$1:$1048576,VLOOKUP("EnsGZ",[1]data_rep!$A$1:$B$200,2,FALSE),FALSE)</f>
        <v>75.900000000000006</v>
      </c>
      <c r="F14" s="13">
        <f>HLOOKUP("q12mod5",[1]data_rep!$1:$1048576,VLOOKUP("EnsGZ",[1]data_rep!$A$1:$B$200,2,FALSE),FALSE)</f>
        <v>13.700000000000001</v>
      </c>
      <c r="G14" s="46"/>
    </row>
    <row r="15" spans="1:7" x14ac:dyDescent="0.25">
      <c r="A15" s="6" t="s">
        <v>23</v>
      </c>
      <c r="B15" s="22">
        <f>HLOOKUP("q12mod1",[1]data_rep!$1:$1048576,VLOOKUP("EnsHZ",[1]data_rep!$A$1:$B$200,2,FALSE),FALSE)</f>
        <v>5.7</v>
      </c>
      <c r="C15" s="18">
        <f>HLOOKUP("q12mod2",[1]data_rep!$1:$1048576,VLOOKUP("EnsHZ",[1]data_rep!$A$1:$B$200,2,FALSE),FALSE)</f>
        <v>1.7000000000000002</v>
      </c>
      <c r="D15" s="18">
        <f>HLOOKUP("q12mod3",[1]data_rep!$1:$1048576,VLOOKUP("EnsHZ",[1]data_rep!$A$1:$B$200,2,FALSE),FALSE)</f>
        <v>4.1000000000000005</v>
      </c>
      <c r="E15" s="18">
        <f>HLOOKUP("q12mod4",[1]data_rep!$1:$1048576,VLOOKUP("EnsHZ",[1]data_rep!$A$1:$B$200,2,FALSE),FALSE)</f>
        <v>71.8</v>
      </c>
      <c r="F15" s="13">
        <f>HLOOKUP("q12mod5",[1]data_rep!$1:$1048576,VLOOKUP("EnsHZ",[1]data_rep!$A$1:$B$200,2,FALSE),FALSE)</f>
        <v>16.7</v>
      </c>
      <c r="G15" s="46"/>
    </row>
    <row r="16" spans="1:7" x14ac:dyDescent="0.25">
      <c r="A16" s="6" t="s">
        <v>24</v>
      </c>
      <c r="B16" s="22">
        <f>HLOOKUP("q12mod1",[1]data_rep!$1:$1048576,VLOOKUP("EnsIZ",[1]data_rep!$A$1:$B$200,2,FALSE),FALSE)</f>
        <v>16.900000000000002</v>
      </c>
      <c r="C16" s="18">
        <f>HLOOKUP("q12mod2",[1]data_rep!$1:$1048576,VLOOKUP("EnsIZ",[1]data_rep!$A$1:$B$200,2,FALSE),FALSE)</f>
        <v>2.1</v>
      </c>
      <c r="D16" s="18">
        <f>HLOOKUP("q12mod3",[1]data_rep!$1:$1048576,VLOOKUP("EnsIZ",[1]data_rep!$A$1:$B$200,2,FALSE),FALSE)</f>
        <v>5.4</v>
      </c>
      <c r="E16" s="18">
        <f>HLOOKUP("q12mod4",[1]data_rep!$1:$1048576,VLOOKUP("EnsIZ",[1]data_rep!$A$1:$B$200,2,FALSE),FALSE)</f>
        <v>68.300000000000011</v>
      </c>
      <c r="F16" s="13">
        <f>HLOOKUP("q12mod5",[1]data_rep!$1:$1048576,VLOOKUP("EnsIZ",[1]data_rep!$A$1:$B$200,2,FALSE),FALSE)</f>
        <v>7.3</v>
      </c>
      <c r="G16" s="46"/>
    </row>
    <row r="17" spans="1:7" x14ac:dyDescent="0.25">
      <c r="A17" s="6" t="s">
        <v>25</v>
      </c>
      <c r="B17" s="22">
        <f>HLOOKUP("q12mod1",[1]data_rep!$1:$1048576,VLOOKUP("EnsJZ",[1]data_rep!$A$1:$B$200,2,FALSE),FALSE)</f>
        <v>19.2</v>
      </c>
      <c r="C17" s="18">
        <f>HLOOKUP("q12mod2",[1]data_rep!$1:$1048576,VLOOKUP("EnsJZ",[1]data_rep!$A$1:$B$200,2,FALSE),FALSE)</f>
        <v>3.1</v>
      </c>
      <c r="D17" s="18">
        <f>HLOOKUP("q12mod3",[1]data_rep!$1:$1048576,VLOOKUP("EnsJZ",[1]data_rep!$A$1:$B$200,2,FALSE),FALSE)</f>
        <v>23.3</v>
      </c>
      <c r="E17" s="18">
        <f>HLOOKUP("q12mod4",[1]data_rep!$1:$1048576,VLOOKUP("EnsJZ",[1]data_rep!$A$1:$B$200,2,FALSE),FALSE)</f>
        <v>39.6</v>
      </c>
      <c r="F17" s="13">
        <f>HLOOKUP("q12mod5",[1]data_rep!$1:$1048576,VLOOKUP("EnsJZ",[1]data_rep!$A$1:$B$200,2,FALSE),FALSE)</f>
        <v>14.899999999999999</v>
      </c>
      <c r="G17" s="46"/>
    </row>
    <row r="18" spans="1:7" x14ac:dyDescent="0.25">
      <c r="A18" s="6" t="s">
        <v>26</v>
      </c>
      <c r="B18" s="22">
        <f>HLOOKUP("q12mod1",[1]data_rep!$1:$1048576,VLOOKUP("EnsKZ",[1]data_rep!$A$1:$B$200,2,FALSE),FALSE)</f>
        <v>7.0000000000000009</v>
      </c>
      <c r="C18" s="18">
        <f>HLOOKUP("q12mod2",[1]data_rep!$1:$1048576,VLOOKUP("EnsKZ",[1]data_rep!$A$1:$B$200,2,FALSE),FALSE)</f>
        <v>4.2</v>
      </c>
      <c r="D18" s="18">
        <f>HLOOKUP("q12mod3",[1]data_rep!$1:$1048576,VLOOKUP("EnsKZ",[1]data_rep!$A$1:$B$200,2,FALSE),FALSE)</f>
        <v>2.8000000000000003</v>
      </c>
      <c r="E18" s="18">
        <f>HLOOKUP("q12mod4",[1]data_rep!$1:$1048576,VLOOKUP("EnsKZ",[1]data_rep!$A$1:$B$200,2,FALSE),FALSE)</f>
        <v>76.2</v>
      </c>
      <c r="F18" s="13">
        <f>HLOOKUP("q12mod5",[1]data_rep!$1:$1048576,VLOOKUP("EnsKZ",[1]data_rep!$A$1:$B$200,2,FALSE),FALSE)</f>
        <v>9.8000000000000007</v>
      </c>
      <c r="G18" s="46"/>
    </row>
    <row r="19" spans="1:7" x14ac:dyDescent="0.25">
      <c r="A19" s="6" t="s">
        <v>27</v>
      </c>
      <c r="B19" s="22">
        <f>HLOOKUP("q12mod1",[1]data_rep!$1:$1048576,VLOOKUP("EnsLZ",[1]data_rep!$A$1:$B$200,2,FALSE),FALSE)</f>
        <v>3.3000000000000003</v>
      </c>
      <c r="C19" s="18" t="str">
        <f>HLOOKUP("q12mod2",[1]data_rep!$1:$1048576,VLOOKUP("EnsLZ",[1]data_rep!$A$1:$B$200,2,FALSE),FALSE)</f>
        <v>nd</v>
      </c>
      <c r="D19" s="18" t="str">
        <f>HLOOKUP("q12mod3",[1]data_rep!$1:$1048576,VLOOKUP("EnsLZ",[1]data_rep!$A$1:$B$200,2,FALSE),FALSE)</f>
        <v>nd</v>
      </c>
      <c r="E19" s="18">
        <f>HLOOKUP("q12mod4",[1]data_rep!$1:$1048576,VLOOKUP("EnsLZ",[1]data_rep!$A$1:$B$200,2,FALSE),FALSE)</f>
        <v>88.4</v>
      </c>
      <c r="F19" s="13">
        <f>HLOOKUP("q12mod5",[1]data_rep!$1:$1048576,VLOOKUP("EnsLZ",[1]data_rep!$A$1:$B$200,2,FALSE),FALSE)</f>
        <v>4.9000000000000004</v>
      </c>
      <c r="G19" s="36">
        <f>100-SUM(B19:F19)</f>
        <v>3.3999999999999915</v>
      </c>
    </row>
    <row r="20" spans="1:7" x14ac:dyDescent="0.25">
      <c r="A20" s="6" t="s">
        <v>28</v>
      </c>
      <c r="B20" s="22">
        <f>HLOOKUP("q12mod1",[1]data_rep!$1:$1048576,VLOOKUP("EnsMN",[1]data_rep!$A$1:$B$200,2,FALSE),FALSE)</f>
        <v>9.5</v>
      </c>
      <c r="C20" s="18">
        <f>HLOOKUP("q12mod2",[1]data_rep!$1:$1048576,VLOOKUP("EnsMN",[1]data_rep!$A$1:$B$200,2,FALSE),FALSE)</f>
        <v>2.9000000000000004</v>
      </c>
      <c r="D20" s="18">
        <f>HLOOKUP("q12mod3",[1]data_rep!$1:$1048576,VLOOKUP("EnsMN",[1]data_rep!$A$1:$B$200,2,FALSE),FALSE)</f>
        <v>7.3999999999999995</v>
      </c>
      <c r="E20" s="18">
        <f>HLOOKUP("q12mod4",[1]data_rep!$1:$1048576,VLOOKUP("EnsMN",[1]data_rep!$A$1:$B$200,2,FALSE),FALSE)</f>
        <v>66.3</v>
      </c>
      <c r="F20" s="13">
        <f>HLOOKUP("q12mod5",[1]data_rep!$1:$1048576,VLOOKUP("EnsMN",[1]data_rep!$A$1:$B$200,2,FALSE),FALSE)</f>
        <v>13.900000000000002</v>
      </c>
      <c r="G20" s="46"/>
    </row>
    <row r="21" spans="1:7" x14ac:dyDescent="0.25">
      <c r="A21" s="6" t="s">
        <v>29</v>
      </c>
      <c r="B21" s="22">
        <f>HLOOKUP("q12mod1",[1]data_rep!$1:$1048576,VLOOKUP("EnsOQ",[1]data_rep!$A$1:$B$200,2,FALSE),FALSE)</f>
        <v>2.5</v>
      </c>
      <c r="C21" s="18">
        <f>HLOOKUP("q12mod2",[1]data_rep!$1:$1048576,VLOOKUP("EnsOQ",[1]data_rep!$A$1:$B$200,2,FALSE),FALSE)</f>
        <v>1.3</v>
      </c>
      <c r="D21" s="18">
        <f>HLOOKUP("q12mod3",[1]data_rep!$1:$1048576,VLOOKUP("EnsOQ",[1]data_rep!$A$1:$B$200,2,FALSE),FALSE)</f>
        <v>1.9</v>
      </c>
      <c r="E21" s="18">
        <f>HLOOKUP("q12mod4",[1]data_rep!$1:$1048576,VLOOKUP("EnsOQ",[1]data_rep!$A$1:$B$200,2,FALSE),FALSE)</f>
        <v>84.2</v>
      </c>
      <c r="F21" s="13">
        <f>HLOOKUP("q12mod5",[1]data_rep!$1:$1048576,VLOOKUP("EnsOQ",[1]data_rep!$A$1:$B$200,2,FALSE),FALSE)</f>
        <v>10.100000000000001</v>
      </c>
      <c r="G21" s="46"/>
    </row>
    <row r="22" spans="1:7" x14ac:dyDescent="0.25">
      <c r="A22" s="7" t="s">
        <v>30</v>
      </c>
      <c r="B22" s="23">
        <f>HLOOKUP("q12mod1",[1]data_rep!$1:$1048576,VLOOKUP("EnsRU",[1]data_rep!$A$1:$B$200,2,FALSE),FALSE)</f>
        <v>6.7</v>
      </c>
      <c r="C22" s="20">
        <f>HLOOKUP("q12mod2",[1]data_rep!$1:$1048576,VLOOKUP("EnsRU",[1]data_rep!$A$1:$B$200,2,FALSE),FALSE)</f>
        <v>4.2</v>
      </c>
      <c r="D22" s="20">
        <f>HLOOKUP("q12mod3",[1]data_rep!$1:$1048576,VLOOKUP("EnsRU",[1]data_rep!$A$1:$B$200,2,FALSE),FALSE)</f>
        <v>2.1</v>
      </c>
      <c r="E22" s="20">
        <f>HLOOKUP("q12mod4",[1]data_rep!$1:$1048576,VLOOKUP("EnsRU",[1]data_rep!$A$1:$B$200,2,FALSE),FALSE)</f>
        <v>83</v>
      </c>
      <c r="F22" s="14">
        <f>HLOOKUP("q12mod5",[1]data_rep!$1:$1048576,VLOOKUP("EnsRU",[1]data_rep!$A$1:$B$200,2,FALSE),FALSE)</f>
        <v>4</v>
      </c>
      <c r="G22" s="52"/>
    </row>
    <row r="23" spans="1:7" x14ac:dyDescent="0.25">
      <c r="A23" s="8" t="s">
        <v>116</v>
      </c>
      <c r="B23" s="71"/>
      <c r="C23" s="71"/>
      <c r="D23" s="71"/>
      <c r="E23" s="71"/>
      <c r="F23" s="71"/>
    </row>
    <row r="24" spans="1:7" x14ac:dyDescent="0.25">
      <c r="A24" s="8" t="s">
        <v>7</v>
      </c>
      <c r="B24" s="71"/>
      <c r="C24" s="71"/>
      <c r="D24" s="71"/>
      <c r="E24" s="71"/>
      <c r="F24" s="71"/>
    </row>
  </sheetData>
  <hyperlinks>
    <hyperlink ref="F1" location="'Lisez-moi'!A1" display="Retour au sommaire"/>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M33"/>
  <sheetViews>
    <sheetView workbookViewId="0">
      <selection activeCell="I27" sqref="I27"/>
    </sheetView>
  </sheetViews>
  <sheetFormatPr baseColWidth="10" defaultRowHeight="15" x14ac:dyDescent="0.25"/>
  <cols>
    <col min="1" max="1" width="56.28515625" style="71" customWidth="1"/>
    <col min="2" max="8" width="16.5703125" style="71" customWidth="1"/>
    <col min="9" max="16384" width="11.42578125" style="71"/>
  </cols>
  <sheetData>
    <row r="1" spans="1:13" x14ac:dyDescent="0.25">
      <c r="A1" s="4" t="s">
        <v>165</v>
      </c>
      <c r="G1" s="76" t="s">
        <v>111</v>
      </c>
    </row>
    <row r="3" spans="1:13" x14ac:dyDescent="0.25">
      <c r="A3" s="71" t="s">
        <v>166</v>
      </c>
    </row>
    <row r="4" spans="1:13" ht="67.5" customHeight="1" x14ac:dyDescent="0.25">
      <c r="B4" s="24" t="s">
        <v>61</v>
      </c>
      <c r="C4" s="25" t="s">
        <v>62</v>
      </c>
      <c r="D4" s="25" t="s">
        <v>63</v>
      </c>
      <c r="E4" s="25" t="s">
        <v>104</v>
      </c>
      <c r="F4" s="25" t="s">
        <v>64</v>
      </c>
      <c r="G4" s="26" t="s">
        <v>65</v>
      </c>
    </row>
    <row r="5" spans="1:13" x14ac:dyDescent="0.25">
      <c r="A5" s="15" t="s">
        <v>66</v>
      </c>
      <c r="B5" s="21">
        <v>56.699999999999996</v>
      </c>
      <c r="C5" s="16">
        <v>5.8999999999999995</v>
      </c>
      <c r="D5" s="16">
        <v>1.4000000000000001</v>
      </c>
      <c r="E5" s="16">
        <v>0</v>
      </c>
      <c r="F5" s="16">
        <v>0.2</v>
      </c>
      <c r="G5" s="12">
        <v>0</v>
      </c>
    </row>
    <row r="6" spans="1:13" x14ac:dyDescent="0.25">
      <c r="A6" s="17" t="s">
        <v>67</v>
      </c>
      <c r="B6" s="22">
        <v>16.3</v>
      </c>
      <c r="C6" s="18">
        <v>8.3000000000000007</v>
      </c>
      <c r="D6" s="18">
        <v>2.2999999999999998</v>
      </c>
      <c r="E6" s="18">
        <v>0</v>
      </c>
      <c r="F6" s="18">
        <v>0.2</v>
      </c>
      <c r="G6" s="13">
        <v>0</v>
      </c>
    </row>
    <row r="7" spans="1:13" x14ac:dyDescent="0.25">
      <c r="A7" s="17" t="s">
        <v>70</v>
      </c>
      <c r="B7" s="22">
        <v>8.9</v>
      </c>
      <c r="C7" s="18">
        <v>8.4</v>
      </c>
      <c r="D7" s="18">
        <v>2.6</v>
      </c>
      <c r="E7" s="18">
        <v>0.4</v>
      </c>
      <c r="F7" s="18">
        <v>1.4000000000000001</v>
      </c>
      <c r="G7" s="13" t="s">
        <v>92</v>
      </c>
    </row>
    <row r="8" spans="1:13" x14ac:dyDescent="0.25">
      <c r="A8" s="17" t="s">
        <v>71</v>
      </c>
      <c r="B8" s="22">
        <v>7.3999999999999995</v>
      </c>
      <c r="C8" s="18">
        <v>11.600000000000001</v>
      </c>
      <c r="D8" s="18">
        <v>6.6000000000000005</v>
      </c>
      <c r="E8" s="18">
        <v>8.7999999999999989</v>
      </c>
      <c r="F8" s="18">
        <v>12.8</v>
      </c>
      <c r="G8" s="13">
        <v>0.3</v>
      </c>
    </row>
    <row r="9" spans="1:13" x14ac:dyDescent="0.25">
      <c r="A9" s="17" t="s">
        <v>68</v>
      </c>
      <c r="B9" s="22">
        <v>6</v>
      </c>
      <c r="C9" s="18">
        <v>30.099999999999998</v>
      </c>
      <c r="D9" s="18">
        <v>34.5</v>
      </c>
      <c r="E9" s="18">
        <v>70.599999999999994</v>
      </c>
      <c r="F9" s="18">
        <v>61.6</v>
      </c>
      <c r="G9" s="13">
        <v>2.5</v>
      </c>
    </row>
    <row r="10" spans="1:13" x14ac:dyDescent="0.25">
      <c r="A10" s="19" t="s">
        <v>69</v>
      </c>
      <c r="B10" s="23">
        <v>4.7</v>
      </c>
      <c r="C10" s="20">
        <v>35.799999999999997</v>
      </c>
      <c r="D10" s="20">
        <v>52.6</v>
      </c>
      <c r="E10" s="20">
        <v>20.200000000000003</v>
      </c>
      <c r="F10" s="20">
        <v>23.799999999999997</v>
      </c>
      <c r="G10" s="14">
        <v>97.3</v>
      </c>
    </row>
    <row r="11" spans="1:13" x14ac:dyDescent="0.25">
      <c r="A11" s="8" t="s">
        <v>116</v>
      </c>
    </row>
    <row r="12" spans="1:13" x14ac:dyDescent="0.25">
      <c r="A12" s="8" t="s">
        <v>7</v>
      </c>
    </row>
    <row r="13" spans="1:13" x14ac:dyDescent="0.25">
      <c r="A13" s="63"/>
    </row>
    <row r="14" spans="1:13" x14ac:dyDescent="0.25">
      <c r="A14" s="63"/>
      <c r="H14" s="69"/>
      <c r="I14" s="69"/>
      <c r="J14" s="69"/>
      <c r="K14" s="69"/>
      <c r="L14" s="69"/>
      <c r="M14" s="69"/>
    </row>
    <row r="15" spans="1:13" x14ac:dyDescent="0.25">
      <c r="A15" s="63"/>
      <c r="H15" s="69"/>
      <c r="I15" s="69"/>
      <c r="J15" s="69"/>
      <c r="K15" s="69"/>
      <c r="L15" s="69"/>
      <c r="M15" s="69"/>
    </row>
    <row r="16" spans="1:13" x14ac:dyDescent="0.25">
      <c r="A16" s="63"/>
      <c r="H16" s="69"/>
      <c r="I16" s="69"/>
      <c r="J16" s="69"/>
      <c r="K16" s="69"/>
      <c r="L16" s="69"/>
      <c r="M16" s="69"/>
    </row>
    <row r="17" spans="1:13" x14ac:dyDescent="0.25">
      <c r="A17" s="63"/>
      <c r="H17" s="69"/>
      <c r="I17" s="69"/>
      <c r="J17" s="69"/>
      <c r="K17" s="69"/>
      <c r="L17" s="69"/>
      <c r="M17" s="69"/>
    </row>
    <row r="18" spans="1:13" x14ac:dyDescent="0.25">
      <c r="A18" s="63"/>
      <c r="H18" s="69"/>
      <c r="I18" s="69"/>
      <c r="J18" s="69"/>
      <c r="K18" s="69"/>
      <c r="L18" s="69"/>
      <c r="M18" s="69"/>
    </row>
    <row r="19" spans="1:13" x14ac:dyDescent="0.25">
      <c r="A19" s="63"/>
      <c r="H19" s="69"/>
      <c r="I19" s="69"/>
      <c r="J19" s="69"/>
      <c r="K19" s="69"/>
      <c r="L19" s="69"/>
      <c r="M19" s="69"/>
    </row>
    <row r="20" spans="1:13" x14ac:dyDescent="0.25">
      <c r="A20" s="63"/>
    </row>
    <row r="21" spans="1:13" x14ac:dyDescent="0.25">
      <c r="A21" s="63"/>
    </row>
    <row r="22" spans="1:13" x14ac:dyDescent="0.25">
      <c r="A22" s="63"/>
    </row>
    <row r="23" spans="1:13" x14ac:dyDescent="0.25">
      <c r="A23" s="63"/>
    </row>
    <row r="24" spans="1:13" x14ac:dyDescent="0.25">
      <c r="A24" s="63"/>
    </row>
    <row r="25" spans="1:13" x14ac:dyDescent="0.25">
      <c r="A25" s="63"/>
    </row>
    <row r="26" spans="1:13" x14ac:dyDescent="0.25">
      <c r="A26" s="63"/>
    </row>
    <row r="27" spans="1:13" x14ac:dyDescent="0.25">
      <c r="A27" s="63"/>
    </row>
    <row r="28" spans="1:13" x14ac:dyDescent="0.25">
      <c r="A28" s="63"/>
    </row>
    <row r="29" spans="1:13" x14ac:dyDescent="0.25">
      <c r="A29" s="63"/>
    </row>
    <row r="30" spans="1:13" x14ac:dyDescent="0.25">
      <c r="A30" s="63"/>
    </row>
    <row r="31" spans="1:13" x14ac:dyDescent="0.25">
      <c r="A31" s="63"/>
    </row>
    <row r="32" spans="1:13" x14ac:dyDescent="0.25">
      <c r="A32" s="63"/>
    </row>
    <row r="33" spans="1:1" x14ac:dyDescent="0.25">
      <c r="A33" s="63"/>
    </row>
  </sheetData>
  <hyperlinks>
    <hyperlink ref="G1" location="'Lisez-moi'!A1" display="Retour au sommair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196"/>
  <sheetViews>
    <sheetView workbookViewId="0"/>
  </sheetViews>
  <sheetFormatPr baseColWidth="10" defaultRowHeight="15" x14ac:dyDescent="0.25"/>
  <cols>
    <col min="1" max="1" width="56.28515625" customWidth="1"/>
    <col min="2" max="8" width="16.5703125" customWidth="1"/>
  </cols>
  <sheetData>
    <row r="1" spans="1:16" x14ac:dyDescent="0.25">
      <c r="A1" s="4" t="s">
        <v>165</v>
      </c>
      <c r="H1" s="76" t="s">
        <v>111</v>
      </c>
    </row>
    <row r="3" spans="1:16" x14ac:dyDescent="0.25">
      <c r="A3" s="3" t="s">
        <v>167</v>
      </c>
    </row>
    <row r="4" spans="1:16" x14ac:dyDescent="0.25">
      <c r="A4" s="3"/>
      <c r="B4" s="33" t="s">
        <v>0</v>
      </c>
      <c r="C4" s="30" t="s">
        <v>8</v>
      </c>
      <c r="D4" s="31" t="s">
        <v>9</v>
      </c>
      <c r="E4" s="31" t="s">
        <v>10</v>
      </c>
      <c r="F4" s="31" t="s">
        <v>11</v>
      </c>
      <c r="G4" s="31" t="s">
        <v>12</v>
      </c>
      <c r="H4" s="32" t="s">
        <v>13</v>
      </c>
    </row>
    <row r="5" spans="1:16" x14ac:dyDescent="0.25">
      <c r="A5" s="15" t="s">
        <v>66</v>
      </c>
      <c r="B5" s="36">
        <v>56.699999999999996</v>
      </c>
      <c r="C5" s="18">
        <v>70.5</v>
      </c>
      <c r="D5" s="18">
        <v>67.900000000000006</v>
      </c>
      <c r="E5" s="18">
        <v>65.600000000000009</v>
      </c>
      <c r="F5" s="18">
        <v>61.1</v>
      </c>
      <c r="G5" s="18">
        <v>55.800000000000004</v>
      </c>
      <c r="H5" s="13">
        <v>44.800000000000004</v>
      </c>
      <c r="J5" s="69"/>
      <c r="K5" s="69"/>
      <c r="L5" s="69"/>
      <c r="M5" s="69"/>
      <c r="N5" s="69"/>
      <c r="O5" s="69"/>
      <c r="P5" s="69"/>
    </row>
    <row r="6" spans="1:16" x14ac:dyDescent="0.25">
      <c r="A6" s="17" t="s">
        <v>67</v>
      </c>
      <c r="B6" s="36">
        <v>16.3</v>
      </c>
      <c r="C6" s="18">
        <v>8.2000000000000011</v>
      </c>
      <c r="D6" s="18">
        <v>10.9</v>
      </c>
      <c r="E6" s="18">
        <v>12.9</v>
      </c>
      <c r="F6" s="18">
        <v>14.899999999999999</v>
      </c>
      <c r="G6" s="18">
        <v>16.5</v>
      </c>
      <c r="H6" s="13">
        <v>22</v>
      </c>
      <c r="J6" s="69"/>
      <c r="K6" s="69"/>
      <c r="L6" s="69"/>
      <c r="M6" s="69"/>
      <c r="N6" s="69"/>
      <c r="O6" s="69"/>
      <c r="P6" s="69"/>
    </row>
    <row r="7" spans="1:16" x14ac:dyDescent="0.25">
      <c r="A7" s="17" t="s">
        <v>70</v>
      </c>
      <c r="B7" s="36">
        <v>8.9</v>
      </c>
      <c r="C7" s="18">
        <v>4.5999999999999996</v>
      </c>
      <c r="D7" s="18">
        <v>5.0999999999999996</v>
      </c>
      <c r="E7" s="18">
        <v>5.5</v>
      </c>
      <c r="F7" s="18">
        <v>7.1</v>
      </c>
      <c r="G7" s="18">
        <v>9.4</v>
      </c>
      <c r="H7" s="13">
        <v>13</v>
      </c>
      <c r="J7" s="69"/>
      <c r="K7" s="69"/>
      <c r="L7" s="69"/>
      <c r="M7" s="69"/>
      <c r="N7" s="69"/>
      <c r="O7" s="69"/>
      <c r="P7" s="69"/>
    </row>
    <row r="8" spans="1:16" x14ac:dyDescent="0.25">
      <c r="A8" s="17" t="s">
        <v>71</v>
      </c>
      <c r="B8" s="36">
        <v>7.3999999999999995</v>
      </c>
      <c r="C8" s="18">
        <v>4</v>
      </c>
      <c r="D8" s="18">
        <v>4.8</v>
      </c>
      <c r="E8" s="18">
        <v>5.0999999999999996</v>
      </c>
      <c r="F8" s="18">
        <v>6.2</v>
      </c>
      <c r="G8" s="18">
        <v>7.6</v>
      </c>
      <c r="H8" s="13">
        <v>10.5</v>
      </c>
      <c r="J8" s="69"/>
      <c r="K8" s="69"/>
      <c r="L8" s="69"/>
      <c r="M8" s="69"/>
      <c r="N8" s="69"/>
      <c r="O8" s="69"/>
      <c r="P8" s="69"/>
    </row>
    <row r="9" spans="1:16" x14ac:dyDescent="0.25">
      <c r="A9" s="17" t="s">
        <v>68</v>
      </c>
      <c r="B9" s="36">
        <v>6</v>
      </c>
      <c r="C9" s="18">
        <v>3.5000000000000004</v>
      </c>
      <c r="D9" s="18">
        <v>4.3</v>
      </c>
      <c r="E9" s="18">
        <v>5.5</v>
      </c>
      <c r="F9" s="18">
        <v>5</v>
      </c>
      <c r="G9" s="18">
        <v>6</v>
      </c>
      <c r="H9" s="13">
        <v>7.8</v>
      </c>
      <c r="J9" s="69"/>
      <c r="K9" s="69"/>
      <c r="L9" s="69"/>
      <c r="M9" s="69"/>
      <c r="N9" s="69"/>
      <c r="O9" s="69"/>
      <c r="P9" s="69"/>
    </row>
    <row r="10" spans="1:16" x14ac:dyDescent="0.25">
      <c r="A10" s="19" t="s">
        <v>69</v>
      </c>
      <c r="B10" s="37">
        <v>4.7</v>
      </c>
      <c r="C10" s="20">
        <v>9.3000000000000007</v>
      </c>
      <c r="D10" s="20">
        <v>7.1</v>
      </c>
      <c r="E10" s="20">
        <v>5.3</v>
      </c>
      <c r="F10" s="20">
        <v>5.7</v>
      </c>
      <c r="G10" s="20">
        <v>4.8</v>
      </c>
      <c r="H10" s="14">
        <v>1.9</v>
      </c>
      <c r="J10" s="69"/>
      <c r="K10" s="69"/>
      <c r="L10" s="69"/>
      <c r="M10" s="69"/>
      <c r="N10" s="69"/>
      <c r="O10" s="69"/>
      <c r="P10" s="69"/>
    </row>
    <row r="11" spans="1:16" x14ac:dyDescent="0.25">
      <c r="A11" s="8" t="s">
        <v>116</v>
      </c>
    </row>
    <row r="12" spans="1:16" x14ac:dyDescent="0.25">
      <c r="A12" s="8" t="s">
        <v>7</v>
      </c>
    </row>
    <row r="13" spans="1:16" s="3" customFormat="1" x14ac:dyDescent="0.25">
      <c r="A13" s="63"/>
    </row>
    <row r="14" spans="1:16" s="3" customFormat="1" x14ac:dyDescent="0.25">
      <c r="A14" s="63"/>
    </row>
    <row r="15" spans="1:16" s="3" customFormat="1" x14ac:dyDescent="0.25">
      <c r="A15" s="63"/>
    </row>
    <row r="16" spans="1:16" s="3" customFormat="1" x14ac:dyDescent="0.25">
      <c r="A16" s="63"/>
    </row>
    <row r="17" spans="1:1" s="3" customFormat="1" x14ac:dyDescent="0.25">
      <c r="A17" s="63"/>
    </row>
    <row r="18" spans="1:1" s="3" customFormat="1" x14ac:dyDescent="0.25">
      <c r="A18" s="63"/>
    </row>
    <row r="19" spans="1:1" s="3" customFormat="1" x14ac:dyDescent="0.25">
      <c r="A19" s="63"/>
    </row>
    <row r="20" spans="1:1" s="3" customFormat="1" x14ac:dyDescent="0.25">
      <c r="A20" s="63"/>
    </row>
    <row r="21" spans="1:1" s="3" customFormat="1" x14ac:dyDescent="0.25">
      <c r="A21" s="63"/>
    </row>
    <row r="22" spans="1:1" s="3" customFormat="1" x14ac:dyDescent="0.25">
      <c r="A22" s="63"/>
    </row>
    <row r="23" spans="1:1" s="3" customFormat="1" x14ac:dyDescent="0.25">
      <c r="A23" s="63"/>
    </row>
    <row r="24" spans="1:1" s="3" customFormat="1" x14ac:dyDescent="0.25">
      <c r="A24" s="63"/>
    </row>
    <row r="25" spans="1:1" s="3" customFormat="1" x14ac:dyDescent="0.25">
      <c r="A25" s="63"/>
    </row>
    <row r="26" spans="1:1" s="3" customFormat="1" x14ac:dyDescent="0.25">
      <c r="A26" s="63"/>
    </row>
    <row r="27" spans="1:1" s="3" customFormat="1" x14ac:dyDescent="0.25">
      <c r="A27" s="63"/>
    </row>
    <row r="29" spans="1:1" s="3" customFormat="1" x14ac:dyDescent="0.25"/>
    <row r="30" spans="1:1" s="3" customFormat="1" x14ac:dyDescent="0.25"/>
    <row r="31" spans="1:1" s="3" customFormat="1" x14ac:dyDescent="0.25"/>
    <row r="32" spans="1:1" s="3" customFormat="1" x14ac:dyDescent="0.25"/>
    <row r="33" spans="1:16" s="3" customFormat="1" x14ac:dyDescent="0.25"/>
    <row r="34" spans="1:16" s="3" customFormat="1" x14ac:dyDescent="0.25"/>
    <row r="35" spans="1:16" s="3" customFormat="1" x14ac:dyDescent="0.25"/>
    <row r="36" spans="1:16" s="3" customFormat="1" x14ac:dyDescent="0.25"/>
    <row r="37" spans="1:16" s="3" customFormat="1" x14ac:dyDescent="0.25"/>
    <row r="38" spans="1:16" s="3" customFormat="1" x14ac:dyDescent="0.25"/>
    <row r="39" spans="1:16" x14ac:dyDescent="0.25">
      <c r="A39" s="3" t="s">
        <v>168</v>
      </c>
      <c r="B39" s="3"/>
      <c r="C39" s="3"/>
      <c r="D39" s="3"/>
      <c r="E39" s="3"/>
      <c r="F39" s="3"/>
      <c r="G39" s="3"/>
      <c r="H39" s="3"/>
    </row>
    <row r="40" spans="1:16" x14ac:dyDescent="0.25">
      <c r="A40" s="3"/>
      <c r="B40" s="33" t="s">
        <v>0</v>
      </c>
      <c r="C40" s="30" t="s">
        <v>8</v>
      </c>
      <c r="D40" s="31" t="s">
        <v>9</v>
      </c>
      <c r="E40" s="31" t="s">
        <v>10</v>
      </c>
      <c r="F40" s="31" t="s">
        <v>11</v>
      </c>
      <c r="G40" s="31" t="s">
        <v>12</v>
      </c>
      <c r="H40" s="32" t="s">
        <v>13</v>
      </c>
    </row>
    <row r="41" spans="1:16" x14ac:dyDescent="0.25">
      <c r="A41" s="15" t="s">
        <v>66</v>
      </c>
      <c r="B41" s="36">
        <v>5.8999999999999995</v>
      </c>
      <c r="C41" s="18">
        <v>3.9</v>
      </c>
      <c r="D41" s="18">
        <v>3.9</v>
      </c>
      <c r="E41" s="18">
        <v>5.5</v>
      </c>
      <c r="F41" s="18">
        <v>5.6000000000000005</v>
      </c>
      <c r="G41" s="18">
        <v>7.6</v>
      </c>
      <c r="H41" s="13">
        <v>6.9</v>
      </c>
      <c r="J41" s="69"/>
      <c r="K41" s="69"/>
      <c r="L41" s="69"/>
      <c r="M41" s="69"/>
      <c r="N41" s="69"/>
      <c r="O41" s="69"/>
      <c r="P41" s="69"/>
    </row>
    <row r="42" spans="1:16" x14ac:dyDescent="0.25">
      <c r="A42" s="17" t="s">
        <v>67</v>
      </c>
      <c r="B42" s="36">
        <v>8.3000000000000007</v>
      </c>
      <c r="C42" s="18">
        <v>3.1</v>
      </c>
      <c r="D42" s="18">
        <v>4.3</v>
      </c>
      <c r="E42" s="18">
        <v>6</v>
      </c>
      <c r="F42" s="18">
        <v>6.5</v>
      </c>
      <c r="G42" s="18">
        <v>8.4</v>
      </c>
      <c r="H42" s="13">
        <v>12.6</v>
      </c>
      <c r="J42" s="69"/>
      <c r="K42" s="69"/>
      <c r="L42" s="69"/>
      <c r="M42" s="69"/>
      <c r="N42" s="69"/>
      <c r="O42" s="69"/>
      <c r="P42" s="69"/>
    </row>
    <row r="43" spans="1:16" x14ac:dyDescent="0.25">
      <c r="A43" s="17" t="s">
        <v>70</v>
      </c>
      <c r="B43" s="36">
        <v>8.4</v>
      </c>
      <c r="C43" s="18">
        <v>3.1</v>
      </c>
      <c r="D43" s="18">
        <v>3.8</v>
      </c>
      <c r="E43" s="18">
        <v>4.3999999999999995</v>
      </c>
      <c r="F43" s="18">
        <v>6.6000000000000005</v>
      </c>
      <c r="G43" s="18">
        <v>8.1</v>
      </c>
      <c r="H43" s="13">
        <v>13.5</v>
      </c>
      <c r="J43" s="69"/>
      <c r="K43" s="69"/>
      <c r="L43" s="69"/>
      <c r="M43" s="69"/>
      <c r="N43" s="69"/>
      <c r="O43" s="69"/>
      <c r="P43" s="69"/>
    </row>
    <row r="44" spans="1:16" x14ac:dyDescent="0.25">
      <c r="A44" s="17" t="s">
        <v>71</v>
      </c>
      <c r="B44" s="36">
        <v>11.600000000000001</v>
      </c>
      <c r="C44" s="18">
        <v>5.3</v>
      </c>
      <c r="D44" s="18">
        <v>5.8999999999999995</v>
      </c>
      <c r="E44" s="18">
        <v>6.9</v>
      </c>
      <c r="F44" s="18">
        <v>11.200000000000001</v>
      </c>
      <c r="G44" s="18">
        <v>13</v>
      </c>
      <c r="H44" s="13">
        <v>16.5</v>
      </c>
      <c r="J44" s="69"/>
      <c r="K44" s="69"/>
      <c r="L44" s="69"/>
      <c r="M44" s="69"/>
      <c r="N44" s="69"/>
      <c r="O44" s="69"/>
      <c r="P44" s="69"/>
    </row>
    <row r="45" spans="1:16" x14ac:dyDescent="0.25">
      <c r="A45" s="17" t="s">
        <v>68</v>
      </c>
      <c r="B45" s="36">
        <v>30.099999999999998</v>
      </c>
      <c r="C45" s="18">
        <v>14.2</v>
      </c>
      <c r="D45" s="18">
        <v>21.3</v>
      </c>
      <c r="E45" s="18">
        <v>25.900000000000002</v>
      </c>
      <c r="F45" s="18">
        <v>34.4</v>
      </c>
      <c r="G45" s="18">
        <v>34.200000000000003</v>
      </c>
      <c r="H45" s="13">
        <v>36.6</v>
      </c>
      <c r="J45" s="69"/>
      <c r="K45" s="69"/>
      <c r="L45" s="69"/>
      <c r="M45" s="69"/>
      <c r="N45" s="69"/>
      <c r="O45" s="69"/>
      <c r="P45" s="69"/>
    </row>
    <row r="46" spans="1:16" x14ac:dyDescent="0.25">
      <c r="A46" s="19" t="s">
        <v>69</v>
      </c>
      <c r="B46" s="37">
        <v>35.799999999999997</v>
      </c>
      <c r="C46" s="20">
        <v>70.399999999999991</v>
      </c>
      <c r="D46" s="20">
        <v>60.8</v>
      </c>
      <c r="E46" s="20">
        <v>51.4</v>
      </c>
      <c r="F46" s="20">
        <v>35.699999999999996</v>
      </c>
      <c r="G46" s="20">
        <v>28.599999999999998</v>
      </c>
      <c r="H46" s="14">
        <v>13.8</v>
      </c>
      <c r="J46" s="69"/>
      <c r="K46" s="69"/>
      <c r="L46" s="69"/>
      <c r="M46" s="69"/>
      <c r="N46" s="69"/>
      <c r="O46" s="69"/>
      <c r="P46" s="69"/>
    </row>
    <row r="47" spans="1:16" x14ac:dyDescent="0.25">
      <c r="A47" s="8" t="s">
        <v>116</v>
      </c>
    </row>
    <row r="48" spans="1:16" s="3" customFormat="1" x14ac:dyDescent="0.25">
      <c r="A48" s="8" t="s">
        <v>7</v>
      </c>
    </row>
    <row r="49" spans="1:1" s="3" customFormat="1" x14ac:dyDescent="0.25">
      <c r="A49" s="63"/>
    </row>
    <row r="50" spans="1:1" s="3" customFormat="1" x14ac:dyDescent="0.25">
      <c r="A50" s="63"/>
    </row>
    <row r="51" spans="1:1" s="3" customFormat="1" x14ac:dyDescent="0.25">
      <c r="A51" s="63"/>
    </row>
    <row r="52" spans="1:1" s="3" customFormat="1" x14ac:dyDescent="0.25">
      <c r="A52" s="63"/>
    </row>
    <row r="53" spans="1:1" s="3" customFormat="1" x14ac:dyDescent="0.25">
      <c r="A53" s="63"/>
    </row>
    <row r="54" spans="1:1" s="3" customFormat="1" x14ac:dyDescent="0.25">
      <c r="A54" s="63"/>
    </row>
    <row r="55" spans="1:1" s="3" customFormat="1" x14ac:dyDescent="0.25">
      <c r="A55" s="63"/>
    </row>
    <row r="56" spans="1:1" s="3" customFormat="1" x14ac:dyDescent="0.25">
      <c r="A56" s="63"/>
    </row>
    <row r="57" spans="1:1" s="3" customFormat="1" x14ac:dyDescent="0.25">
      <c r="A57" s="63"/>
    </row>
    <row r="58" spans="1:1" s="3" customFormat="1" x14ac:dyDescent="0.25">
      <c r="A58" s="63"/>
    </row>
    <row r="59" spans="1:1" s="3" customFormat="1" x14ac:dyDescent="0.25">
      <c r="A59" s="63"/>
    </row>
    <row r="60" spans="1:1" s="3" customFormat="1" x14ac:dyDescent="0.25">
      <c r="A60" s="63"/>
    </row>
    <row r="61" spans="1:1" s="3" customFormat="1" x14ac:dyDescent="0.25">
      <c r="A61" s="63"/>
    </row>
    <row r="62" spans="1:1" s="3" customFormat="1" x14ac:dyDescent="0.25">
      <c r="A62" s="63"/>
    </row>
    <row r="63" spans="1:1" s="3" customFormat="1" x14ac:dyDescent="0.25">
      <c r="A63" s="63"/>
    </row>
    <row r="64" spans="1:1" s="3" customFormat="1" x14ac:dyDescent="0.25">
      <c r="A64" s="63"/>
    </row>
    <row r="65" spans="1:16" s="3" customFormat="1" x14ac:dyDescent="0.25">
      <c r="A65" s="63"/>
    </row>
    <row r="66" spans="1:16" s="3" customFormat="1" x14ac:dyDescent="0.25">
      <c r="A66" s="63"/>
    </row>
    <row r="67" spans="1:16" s="3" customFormat="1" x14ac:dyDescent="0.25">
      <c r="A67" s="63"/>
    </row>
    <row r="68" spans="1:16" s="3" customFormat="1" x14ac:dyDescent="0.25">
      <c r="A68" s="63"/>
    </row>
    <row r="69" spans="1:16" s="3" customFormat="1" x14ac:dyDescent="0.25">
      <c r="A69" s="63"/>
    </row>
    <row r="70" spans="1:16" s="3" customFormat="1" x14ac:dyDescent="0.25">
      <c r="A70" s="63"/>
    </row>
    <row r="71" spans="1:16" s="3" customFormat="1" x14ac:dyDescent="0.25">
      <c r="A71" s="63"/>
    </row>
    <row r="72" spans="1:16" s="3" customFormat="1" x14ac:dyDescent="0.25">
      <c r="A72" s="63"/>
    </row>
    <row r="73" spans="1:16" s="3" customFormat="1" x14ac:dyDescent="0.25">
      <c r="A73" s="63"/>
    </row>
    <row r="74" spans="1:16" s="3" customFormat="1" x14ac:dyDescent="0.25">
      <c r="A74" s="63"/>
    </row>
    <row r="76" spans="1:16" x14ac:dyDescent="0.25">
      <c r="A76" s="3" t="s">
        <v>169</v>
      </c>
      <c r="B76" s="3"/>
      <c r="C76" s="3"/>
      <c r="D76" s="3"/>
      <c r="E76" s="3"/>
      <c r="F76" s="3"/>
      <c r="G76" s="3"/>
      <c r="H76" s="3"/>
    </row>
    <row r="77" spans="1:16" x14ac:dyDescent="0.25">
      <c r="A77" s="3"/>
      <c r="B77" s="33" t="s">
        <v>0</v>
      </c>
      <c r="C77" s="30" t="s">
        <v>8</v>
      </c>
      <c r="D77" s="31" t="s">
        <v>9</v>
      </c>
      <c r="E77" s="31" t="s">
        <v>10</v>
      </c>
      <c r="F77" s="31" t="s">
        <v>11</v>
      </c>
      <c r="G77" s="31" t="s">
        <v>12</v>
      </c>
      <c r="H77" s="32" t="s">
        <v>13</v>
      </c>
    </row>
    <row r="78" spans="1:16" x14ac:dyDescent="0.25">
      <c r="A78" s="15" t="s">
        <v>66</v>
      </c>
      <c r="B78" s="36">
        <v>1.4000000000000001</v>
      </c>
      <c r="C78" s="18">
        <v>3.4000000000000004</v>
      </c>
      <c r="D78" s="18">
        <v>2.2999999999999998</v>
      </c>
      <c r="E78" s="18">
        <v>1.2</v>
      </c>
      <c r="F78" s="18">
        <v>1.3</v>
      </c>
      <c r="G78" s="18">
        <v>1.0999999999999999</v>
      </c>
      <c r="H78" s="13">
        <v>0.70000000000000007</v>
      </c>
      <c r="J78" s="69"/>
      <c r="K78" s="69"/>
      <c r="L78" s="69"/>
      <c r="M78" s="69"/>
      <c r="N78" s="69"/>
      <c r="O78" s="69"/>
      <c r="P78" s="69"/>
    </row>
    <row r="79" spans="1:16" x14ac:dyDescent="0.25">
      <c r="A79" s="17" t="s">
        <v>67</v>
      </c>
      <c r="B79" s="36">
        <v>2.2999999999999998</v>
      </c>
      <c r="C79" s="18">
        <v>2.1</v>
      </c>
      <c r="D79" s="18">
        <v>1.7000000000000002</v>
      </c>
      <c r="E79" s="18">
        <v>1.5</v>
      </c>
      <c r="F79" s="18">
        <v>1.6</v>
      </c>
      <c r="G79" s="18">
        <v>2.1</v>
      </c>
      <c r="H79" s="13">
        <v>3.1</v>
      </c>
      <c r="J79" s="69"/>
      <c r="K79" s="69"/>
      <c r="L79" s="69"/>
      <c r="M79" s="69"/>
      <c r="N79" s="69"/>
      <c r="O79" s="69"/>
      <c r="P79" s="69"/>
    </row>
    <row r="80" spans="1:16" x14ac:dyDescent="0.25">
      <c r="A80" s="17" t="s">
        <v>70</v>
      </c>
      <c r="B80" s="36">
        <v>2.6</v>
      </c>
      <c r="C80" s="18">
        <v>2.6</v>
      </c>
      <c r="D80" s="18">
        <v>3</v>
      </c>
      <c r="E80" s="18">
        <v>2</v>
      </c>
      <c r="F80" s="18">
        <v>2.5</v>
      </c>
      <c r="G80" s="18">
        <v>3</v>
      </c>
      <c r="H80" s="13">
        <v>2.5</v>
      </c>
      <c r="J80" s="69"/>
      <c r="K80" s="69"/>
      <c r="L80" s="69"/>
      <c r="M80" s="69"/>
      <c r="N80" s="69"/>
      <c r="O80" s="69"/>
      <c r="P80" s="69"/>
    </row>
    <row r="81" spans="1:16" x14ac:dyDescent="0.25">
      <c r="A81" s="17" t="s">
        <v>71</v>
      </c>
      <c r="B81" s="36">
        <v>6.6000000000000005</v>
      </c>
      <c r="C81" s="18">
        <v>5.5</v>
      </c>
      <c r="D81" s="18">
        <v>5.7</v>
      </c>
      <c r="E81" s="18">
        <v>6.1</v>
      </c>
      <c r="F81" s="18">
        <v>7.7</v>
      </c>
      <c r="G81" s="18">
        <v>8.6</v>
      </c>
      <c r="H81" s="13">
        <v>6.5</v>
      </c>
      <c r="J81" s="69"/>
      <c r="K81" s="69"/>
      <c r="L81" s="69"/>
      <c r="M81" s="69"/>
      <c r="N81" s="69"/>
      <c r="O81" s="69"/>
      <c r="P81" s="69"/>
    </row>
    <row r="82" spans="1:16" x14ac:dyDescent="0.25">
      <c r="A82" s="17" t="s">
        <v>68</v>
      </c>
      <c r="B82" s="36">
        <v>34.5</v>
      </c>
      <c r="C82" s="18">
        <v>14.6</v>
      </c>
      <c r="D82" s="18">
        <v>24.4</v>
      </c>
      <c r="E82" s="18">
        <v>30.4</v>
      </c>
      <c r="F82" s="18">
        <v>37.1</v>
      </c>
      <c r="G82" s="18">
        <v>41.8</v>
      </c>
      <c r="H82" s="13">
        <v>42.5</v>
      </c>
      <c r="J82" s="69"/>
      <c r="K82" s="69"/>
      <c r="L82" s="69"/>
      <c r="M82" s="69"/>
      <c r="N82" s="69"/>
      <c r="O82" s="69"/>
      <c r="P82" s="69"/>
    </row>
    <row r="83" spans="1:16" x14ac:dyDescent="0.25">
      <c r="A83" s="19" t="s">
        <v>69</v>
      </c>
      <c r="B83" s="37">
        <v>52.6</v>
      </c>
      <c r="C83" s="20">
        <v>71.8</v>
      </c>
      <c r="D83" s="20">
        <v>62.9</v>
      </c>
      <c r="E83" s="20">
        <v>58.8</v>
      </c>
      <c r="F83" s="20">
        <v>49.8</v>
      </c>
      <c r="G83" s="20">
        <v>43.4</v>
      </c>
      <c r="H83" s="14">
        <v>44.7</v>
      </c>
      <c r="J83" s="69"/>
      <c r="K83" s="69"/>
      <c r="L83" s="69"/>
      <c r="M83" s="69"/>
      <c r="N83" s="69"/>
      <c r="O83" s="69"/>
      <c r="P83" s="69"/>
    </row>
    <row r="84" spans="1:16" x14ac:dyDescent="0.25">
      <c r="A84" s="8" t="s">
        <v>116</v>
      </c>
    </row>
    <row r="85" spans="1:16" x14ac:dyDescent="0.25">
      <c r="A85" s="8" t="s">
        <v>7</v>
      </c>
    </row>
    <row r="86" spans="1:16" s="3" customFormat="1" x14ac:dyDescent="0.25">
      <c r="A86" s="63"/>
    </row>
    <row r="87" spans="1:16" s="3" customFormat="1" x14ac:dyDescent="0.25">
      <c r="A87" s="63"/>
    </row>
    <row r="88" spans="1:16" s="3" customFormat="1" x14ac:dyDescent="0.25">
      <c r="A88" s="63"/>
    </row>
    <row r="89" spans="1:16" s="3" customFormat="1" x14ac:dyDescent="0.25">
      <c r="A89" s="63"/>
    </row>
    <row r="90" spans="1:16" s="3" customFormat="1" x14ac:dyDescent="0.25">
      <c r="A90" s="63"/>
    </row>
    <row r="91" spans="1:16" s="3" customFormat="1" x14ac:dyDescent="0.25">
      <c r="A91" s="63"/>
    </row>
    <row r="92" spans="1:16" s="3" customFormat="1" x14ac:dyDescent="0.25">
      <c r="A92" s="63"/>
    </row>
    <row r="93" spans="1:16" s="3" customFormat="1" x14ac:dyDescent="0.25">
      <c r="A93" s="63"/>
    </row>
    <row r="94" spans="1:16" s="3" customFormat="1" x14ac:dyDescent="0.25">
      <c r="A94" s="63"/>
    </row>
    <row r="95" spans="1:16" s="3" customFormat="1" x14ac:dyDescent="0.25">
      <c r="A95" s="63"/>
    </row>
    <row r="96" spans="1:16" s="3" customFormat="1" x14ac:dyDescent="0.25">
      <c r="A96" s="63"/>
    </row>
    <row r="97" spans="1:1" s="3" customFormat="1" x14ac:dyDescent="0.25">
      <c r="A97" s="63"/>
    </row>
    <row r="98" spans="1:1" s="3" customFormat="1" x14ac:dyDescent="0.25">
      <c r="A98" s="63"/>
    </row>
    <row r="99" spans="1:1" s="3" customFormat="1" x14ac:dyDescent="0.25">
      <c r="A99" s="63"/>
    </row>
    <row r="100" spans="1:1" s="3" customFormat="1" x14ac:dyDescent="0.25">
      <c r="A100" s="63"/>
    </row>
    <row r="101" spans="1:1" s="3" customFormat="1" x14ac:dyDescent="0.25">
      <c r="A101" s="63"/>
    </row>
    <row r="102" spans="1:1" s="3" customFormat="1" x14ac:dyDescent="0.25">
      <c r="A102" s="63"/>
    </row>
    <row r="103" spans="1:1" s="3" customFormat="1" x14ac:dyDescent="0.25">
      <c r="A103" s="63"/>
    </row>
    <row r="104" spans="1:1" s="3" customFormat="1" x14ac:dyDescent="0.25">
      <c r="A104" s="63"/>
    </row>
    <row r="105" spans="1:1" s="3" customFormat="1" x14ac:dyDescent="0.25">
      <c r="A105" s="63"/>
    </row>
    <row r="106" spans="1:1" s="3" customFormat="1" x14ac:dyDescent="0.25">
      <c r="A106" s="63"/>
    </row>
    <row r="107" spans="1:1" s="3" customFormat="1" x14ac:dyDescent="0.25">
      <c r="A107" s="63"/>
    </row>
    <row r="108" spans="1:1" s="3" customFormat="1" x14ac:dyDescent="0.25">
      <c r="A108" s="63"/>
    </row>
    <row r="109" spans="1:1" s="3" customFormat="1" x14ac:dyDescent="0.25">
      <c r="A109" s="63"/>
    </row>
    <row r="110" spans="1:1" s="3" customFormat="1" x14ac:dyDescent="0.25">
      <c r="A110" s="63"/>
    </row>
    <row r="111" spans="1:1" s="3" customFormat="1" x14ac:dyDescent="0.25">
      <c r="A111" s="63"/>
    </row>
    <row r="112" spans="1:1" s="3" customFormat="1" x14ac:dyDescent="0.25">
      <c r="A112" s="63"/>
    </row>
    <row r="113" spans="1:16" x14ac:dyDescent="0.25">
      <c r="A113" s="3" t="s">
        <v>170</v>
      </c>
      <c r="B113" s="3"/>
      <c r="C113" s="3"/>
      <c r="D113" s="3"/>
      <c r="E113" s="3"/>
      <c r="F113" s="3"/>
      <c r="G113" s="3"/>
      <c r="H113" s="3"/>
    </row>
    <row r="114" spans="1:16" x14ac:dyDescent="0.25">
      <c r="A114" s="3"/>
      <c r="B114" s="33" t="s">
        <v>0</v>
      </c>
      <c r="C114" s="30" t="s">
        <v>8</v>
      </c>
      <c r="D114" s="31" t="s">
        <v>9</v>
      </c>
      <c r="E114" s="31" t="s">
        <v>10</v>
      </c>
      <c r="F114" s="31" t="s">
        <v>11</v>
      </c>
      <c r="G114" s="31" t="s">
        <v>12</v>
      </c>
      <c r="H114" s="32" t="s">
        <v>13</v>
      </c>
    </row>
    <row r="115" spans="1:16" x14ac:dyDescent="0.25">
      <c r="A115" s="15" t="s">
        <v>66</v>
      </c>
      <c r="B115" s="36">
        <v>0</v>
      </c>
      <c r="C115" s="18">
        <v>0</v>
      </c>
      <c r="D115" s="18" t="s">
        <v>92</v>
      </c>
      <c r="E115" s="18">
        <v>0</v>
      </c>
      <c r="F115" s="18">
        <v>0</v>
      </c>
      <c r="G115" s="18" t="s">
        <v>92</v>
      </c>
      <c r="H115" s="13" t="s">
        <v>92</v>
      </c>
      <c r="J115" s="69"/>
      <c r="K115" s="69"/>
      <c r="L115" s="69"/>
      <c r="M115" s="69"/>
      <c r="N115" s="69"/>
      <c r="O115" s="69"/>
      <c r="P115" s="69"/>
    </row>
    <row r="116" spans="1:16" x14ac:dyDescent="0.25">
      <c r="A116" s="17" t="s">
        <v>67</v>
      </c>
      <c r="B116" s="36">
        <v>0</v>
      </c>
      <c r="C116" s="18" t="s">
        <v>92</v>
      </c>
      <c r="D116" s="18">
        <v>0.2</v>
      </c>
      <c r="E116" s="18">
        <v>0</v>
      </c>
      <c r="F116" s="18" t="s">
        <v>92</v>
      </c>
      <c r="G116" s="18">
        <v>0</v>
      </c>
      <c r="H116" s="13">
        <v>0</v>
      </c>
      <c r="J116" s="69"/>
      <c r="K116" s="69"/>
      <c r="L116" s="69"/>
      <c r="M116" s="69"/>
      <c r="N116" s="69"/>
      <c r="O116" s="69"/>
      <c r="P116" s="69"/>
    </row>
    <row r="117" spans="1:16" x14ac:dyDescent="0.25">
      <c r="A117" s="17" t="s">
        <v>70</v>
      </c>
      <c r="B117" s="36">
        <v>0.4</v>
      </c>
      <c r="C117" s="18">
        <v>0.3</v>
      </c>
      <c r="D117" s="18">
        <v>0.3</v>
      </c>
      <c r="E117" s="18">
        <v>0.3</v>
      </c>
      <c r="F117" s="18">
        <v>0.2</v>
      </c>
      <c r="G117" s="18">
        <v>0.70000000000000007</v>
      </c>
      <c r="H117" s="13">
        <v>0.5</v>
      </c>
      <c r="J117" s="69"/>
      <c r="K117" s="69"/>
      <c r="L117" s="69"/>
      <c r="M117" s="69"/>
      <c r="N117" s="69"/>
      <c r="O117" s="69"/>
      <c r="P117" s="69"/>
    </row>
    <row r="118" spans="1:16" x14ac:dyDescent="0.25">
      <c r="A118" s="17" t="s">
        <v>71</v>
      </c>
      <c r="B118" s="36">
        <v>8.7999999999999989</v>
      </c>
      <c r="C118" s="18">
        <v>3.5999999999999996</v>
      </c>
      <c r="D118" s="18">
        <v>5</v>
      </c>
      <c r="E118" s="18">
        <v>7.5</v>
      </c>
      <c r="F118" s="18">
        <v>8.9</v>
      </c>
      <c r="G118" s="18">
        <v>11.4</v>
      </c>
      <c r="H118" s="13">
        <v>11.4</v>
      </c>
      <c r="J118" s="69"/>
      <c r="K118" s="69"/>
      <c r="L118" s="69"/>
      <c r="M118" s="69"/>
      <c r="N118" s="69"/>
      <c r="O118" s="69"/>
      <c r="P118" s="69"/>
    </row>
    <row r="119" spans="1:16" x14ac:dyDescent="0.25">
      <c r="A119" s="17" t="s">
        <v>68</v>
      </c>
      <c r="B119" s="36">
        <v>70.599999999999994</v>
      </c>
      <c r="C119" s="18">
        <v>34.9</v>
      </c>
      <c r="D119" s="18">
        <v>54</v>
      </c>
      <c r="E119" s="18">
        <v>67.800000000000011</v>
      </c>
      <c r="F119" s="18">
        <v>77.100000000000009</v>
      </c>
      <c r="G119" s="18">
        <v>78.100000000000009</v>
      </c>
      <c r="H119" s="13">
        <v>83.899999999999991</v>
      </c>
      <c r="J119" s="69"/>
      <c r="K119" s="69"/>
      <c r="L119" s="69"/>
      <c r="M119" s="69"/>
      <c r="N119" s="69"/>
      <c r="O119" s="69"/>
      <c r="P119" s="69"/>
    </row>
    <row r="120" spans="1:16" x14ac:dyDescent="0.25">
      <c r="A120" s="19" t="s">
        <v>69</v>
      </c>
      <c r="B120" s="37">
        <v>20.200000000000003</v>
      </c>
      <c r="C120" s="20">
        <v>61.1</v>
      </c>
      <c r="D120" s="20">
        <v>40.5</v>
      </c>
      <c r="E120" s="20">
        <v>24.5</v>
      </c>
      <c r="F120" s="20">
        <v>13.8</v>
      </c>
      <c r="G120" s="20">
        <v>9.8000000000000007</v>
      </c>
      <c r="H120" s="14">
        <v>4.2</v>
      </c>
      <c r="J120" s="69"/>
      <c r="K120" s="69"/>
      <c r="L120" s="69"/>
      <c r="M120" s="69"/>
      <c r="N120" s="69"/>
      <c r="O120" s="69"/>
      <c r="P120" s="69"/>
    </row>
    <row r="121" spans="1:16" x14ac:dyDescent="0.25">
      <c r="A121" s="8" t="s">
        <v>116</v>
      </c>
    </row>
    <row r="122" spans="1:16" x14ac:dyDescent="0.25">
      <c r="A122" s="8" t="s">
        <v>7</v>
      </c>
    </row>
    <row r="123" spans="1:16" s="3" customFormat="1" x14ac:dyDescent="0.25">
      <c r="A123" s="63"/>
    </row>
    <row r="124" spans="1:16" s="3" customFormat="1" x14ac:dyDescent="0.25">
      <c r="A124" s="63"/>
    </row>
    <row r="125" spans="1:16" s="3" customFormat="1" x14ac:dyDescent="0.25">
      <c r="A125" s="63"/>
    </row>
    <row r="126" spans="1:16" s="3" customFormat="1" x14ac:dyDescent="0.25">
      <c r="A126" s="63"/>
    </row>
    <row r="127" spans="1:16" s="3" customFormat="1" x14ac:dyDescent="0.25">
      <c r="A127" s="63"/>
    </row>
    <row r="128" spans="1:16" s="3" customFormat="1" x14ac:dyDescent="0.25">
      <c r="A128" s="63"/>
    </row>
    <row r="129" spans="1:1" s="3" customFormat="1" x14ac:dyDescent="0.25">
      <c r="A129" s="63"/>
    </row>
    <row r="130" spans="1:1" s="3" customFormat="1" x14ac:dyDescent="0.25">
      <c r="A130" s="63"/>
    </row>
    <row r="131" spans="1:1" s="3" customFormat="1" x14ac:dyDescent="0.25">
      <c r="A131" s="63"/>
    </row>
    <row r="132" spans="1:1" s="3" customFormat="1" x14ac:dyDescent="0.25">
      <c r="A132" s="63"/>
    </row>
    <row r="133" spans="1:1" s="3" customFormat="1" x14ac:dyDescent="0.25">
      <c r="A133" s="63"/>
    </row>
    <row r="134" spans="1:1" s="3" customFormat="1" x14ac:dyDescent="0.25">
      <c r="A134" s="63"/>
    </row>
    <row r="135" spans="1:1" s="3" customFormat="1" x14ac:dyDescent="0.25">
      <c r="A135" s="63"/>
    </row>
    <row r="136" spans="1:1" s="3" customFormat="1" x14ac:dyDescent="0.25">
      <c r="A136" s="63"/>
    </row>
    <row r="137" spans="1:1" s="3" customFormat="1" x14ac:dyDescent="0.25">
      <c r="A137" s="63"/>
    </row>
    <row r="138" spans="1:1" s="3" customFormat="1" x14ac:dyDescent="0.25">
      <c r="A138" s="63"/>
    </row>
    <row r="139" spans="1:1" s="3" customFormat="1" x14ac:dyDescent="0.25">
      <c r="A139" s="63"/>
    </row>
    <row r="140" spans="1:1" s="3" customFormat="1" x14ac:dyDescent="0.25">
      <c r="A140" s="63"/>
    </row>
    <row r="141" spans="1:1" s="3" customFormat="1" x14ac:dyDescent="0.25">
      <c r="A141" s="63"/>
    </row>
    <row r="142" spans="1:1" s="3" customFormat="1" x14ac:dyDescent="0.25">
      <c r="A142" s="63"/>
    </row>
    <row r="143" spans="1:1" s="3" customFormat="1" x14ac:dyDescent="0.25">
      <c r="A143" s="63"/>
    </row>
    <row r="144" spans="1:1" s="3" customFormat="1" x14ac:dyDescent="0.25">
      <c r="A144" s="63"/>
    </row>
    <row r="145" spans="1:16" s="3" customFormat="1" x14ac:dyDescent="0.25">
      <c r="A145" s="63"/>
    </row>
    <row r="146" spans="1:16" s="3" customFormat="1" x14ac:dyDescent="0.25">
      <c r="A146" s="63"/>
    </row>
    <row r="147" spans="1:16" s="3" customFormat="1" x14ac:dyDescent="0.25">
      <c r="A147" s="63"/>
    </row>
    <row r="148" spans="1:16" s="3" customFormat="1" x14ac:dyDescent="0.25">
      <c r="A148" s="63"/>
    </row>
    <row r="149" spans="1:16" s="3" customFormat="1" x14ac:dyDescent="0.25">
      <c r="A149" s="63"/>
    </row>
    <row r="150" spans="1:16" x14ac:dyDescent="0.25">
      <c r="A150" s="3" t="s">
        <v>171</v>
      </c>
      <c r="B150" s="3"/>
      <c r="C150" s="3"/>
      <c r="D150" s="3"/>
      <c r="E150" s="3"/>
      <c r="F150" s="3"/>
      <c r="G150" s="3"/>
      <c r="H150" s="3"/>
    </row>
    <row r="151" spans="1:16" x14ac:dyDescent="0.25">
      <c r="A151" s="3"/>
      <c r="B151" s="33" t="s">
        <v>0</v>
      </c>
      <c r="C151" s="30" t="s">
        <v>8</v>
      </c>
      <c r="D151" s="31" t="s">
        <v>9</v>
      </c>
      <c r="E151" s="31" t="s">
        <v>10</v>
      </c>
      <c r="F151" s="31" t="s">
        <v>11</v>
      </c>
      <c r="G151" s="31" t="s">
        <v>12</v>
      </c>
      <c r="H151" s="32" t="s">
        <v>13</v>
      </c>
    </row>
    <row r="152" spans="1:16" x14ac:dyDescent="0.25">
      <c r="A152" s="15" t="s">
        <v>66</v>
      </c>
      <c r="B152" s="36">
        <v>0.2</v>
      </c>
      <c r="C152" s="18">
        <v>0.2</v>
      </c>
      <c r="D152" s="18">
        <v>0.4</v>
      </c>
      <c r="E152" s="18" t="s">
        <v>92</v>
      </c>
      <c r="F152" s="18">
        <v>0.2</v>
      </c>
      <c r="G152" s="18">
        <v>0.1</v>
      </c>
      <c r="H152" s="13">
        <v>0.1</v>
      </c>
      <c r="J152" s="69"/>
      <c r="K152" s="69"/>
      <c r="L152" s="69"/>
      <c r="M152" s="69"/>
      <c r="N152" s="69"/>
      <c r="O152" s="69"/>
      <c r="P152" s="69"/>
    </row>
    <row r="153" spans="1:16" x14ac:dyDescent="0.25">
      <c r="A153" s="17" t="s">
        <v>67</v>
      </c>
      <c r="B153" s="36">
        <v>0.2</v>
      </c>
      <c r="C153" s="18">
        <v>0.4</v>
      </c>
      <c r="D153" s="18">
        <v>0.2</v>
      </c>
      <c r="E153" s="18">
        <v>0.2</v>
      </c>
      <c r="F153" s="18">
        <v>0.3</v>
      </c>
      <c r="G153" s="18">
        <v>0.2</v>
      </c>
      <c r="H153" s="13">
        <v>0.2</v>
      </c>
      <c r="J153" s="69"/>
      <c r="K153" s="69"/>
      <c r="L153" s="69"/>
      <c r="M153" s="69"/>
      <c r="N153" s="69"/>
      <c r="O153" s="69"/>
      <c r="P153" s="69"/>
    </row>
    <row r="154" spans="1:16" x14ac:dyDescent="0.25">
      <c r="A154" s="17" t="s">
        <v>70</v>
      </c>
      <c r="B154" s="36">
        <v>1.4000000000000001</v>
      </c>
      <c r="C154" s="18">
        <v>1.0999999999999999</v>
      </c>
      <c r="D154" s="18">
        <v>1</v>
      </c>
      <c r="E154" s="18">
        <v>1</v>
      </c>
      <c r="F154" s="18">
        <v>1</v>
      </c>
      <c r="G154" s="18">
        <v>1.2</v>
      </c>
      <c r="H154" s="13">
        <v>2.1</v>
      </c>
      <c r="J154" s="69"/>
      <c r="K154" s="69"/>
      <c r="L154" s="69"/>
      <c r="M154" s="69"/>
      <c r="N154" s="69"/>
      <c r="O154" s="69"/>
      <c r="P154" s="69"/>
    </row>
    <row r="155" spans="1:16" x14ac:dyDescent="0.25">
      <c r="A155" s="17" t="s">
        <v>71</v>
      </c>
      <c r="B155" s="36">
        <v>12.8</v>
      </c>
      <c r="C155" s="18">
        <v>6.8000000000000007</v>
      </c>
      <c r="D155" s="18">
        <v>8.2000000000000011</v>
      </c>
      <c r="E155" s="18">
        <v>10.299999999999999</v>
      </c>
      <c r="F155" s="18">
        <v>12.2</v>
      </c>
      <c r="G155" s="18">
        <v>15.1</v>
      </c>
      <c r="H155" s="13">
        <v>16.7</v>
      </c>
      <c r="J155" s="69"/>
      <c r="K155" s="69"/>
      <c r="L155" s="69"/>
      <c r="M155" s="69"/>
      <c r="N155" s="69"/>
      <c r="O155" s="69"/>
      <c r="P155" s="69"/>
    </row>
    <row r="156" spans="1:16" x14ac:dyDescent="0.25">
      <c r="A156" s="17" t="s">
        <v>68</v>
      </c>
      <c r="B156" s="36">
        <v>61.6</v>
      </c>
      <c r="C156" s="18">
        <v>30.4</v>
      </c>
      <c r="D156" s="18">
        <v>45.800000000000004</v>
      </c>
      <c r="E156" s="18">
        <v>61.199999999999996</v>
      </c>
      <c r="F156" s="18">
        <v>64.2</v>
      </c>
      <c r="G156" s="18">
        <v>69.199999999999989</v>
      </c>
      <c r="H156" s="13">
        <v>73.900000000000006</v>
      </c>
      <c r="J156" s="69"/>
      <c r="K156" s="69"/>
      <c r="L156" s="69"/>
      <c r="M156" s="69"/>
      <c r="N156" s="69"/>
      <c r="O156" s="69"/>
      <c r="P156" s="69"/>
    </row>
    <row r="157" spans="1:16" x14ac:dyDescent="0.25">
      <c r="A157" s="19" t="s">
        <v>69</v>
      </c>
      <c r="B157" s="37">
        <v>23.799999999999997</v>
      </c>
      <c r="C157" s="20">
        <v>61.199999999999996</v>
      </c>
      <c r="D157" s="20">
        <v>44.4</v>
      </c>
      <c r="E157" s="20">
        <v>27.200000000000003</v>
      </c>
      <c r="F157" s="20">
        <v>22.2</v>
      </c>
      <c r="G157" s="20">
        <v>14.2</v>
      </c>
      <c r="H157" s="14">
        <v>7.0000000000000009</v>
      </c>
      <c r="J157" s="69"/>
      <c r="K157" s="69"/>
      <c r="L157" s="69"/>
      <c r="M157" s="69"/>
      <c r="N157" s="69"/>
      <c r="O157" s="69"/>
      <c r="P157" s="69"/>
    </row>
    <row r="158" spans="1:16" x14ac:dyDescent="0.25">
      <c r="A158" s="8" t="s">
        <v>116</v>
      </c>
    </row>
    <row r="159" spans="1:16" x14ac:dyDescent="0.25">
      <c r="A159" s="8" t="s">
        <v>7</v>
      </c>
    </row>
    <row r="160" spans="1:16" s="3" customFormat="1" x14ac:dyDescent="0.25">
      <c r="A160" s="63"/>
    </row>
    <row r="161" spans="1:1" s="3" customFormat="1" x14ac:dyDescent="0.25">
      <c r="A161" s="63"/>
    </row>
    <row r="162" spans="1:1" s="3" customFormat="1" x14ac:dyDescent="0.25">
      <c r="A162" s="63"/>
    </row>
    <row r="163" spans="1:1" s="3" customFormat="1" x14ac:dyDescent="0.25">
      <c r="A163" s="63"/>
    </row>
    <row r="164" spans="1:1" s="3" customFormat="1" x14ac:dyDescent="0.25">
      <c r="A164" s="63"/>
    </row>
    <row r="165" spans="1:1" s="3" customFormat="1" x14ac:dyDescent="0.25">
      <c r="A165" s="63"/>
    </row>
    <row r="166" spans="1:1" s="3" customFormat="1" x14ac:dyDescent="0.25">
      <c r="A166" s="63"/>
    </row>
    <row r="167" spans="1:1" s="3" customFormat="1" x14ac:dyDescent="0.25">
      <c r="A167" s="63"/>
    </row>
    <row r="168" spans="1:1" s="3" customFormat="1" x14ac:dyDescent="0.25">
      <c r="A168" s="63"/>
    </row>
    <row r="169" spans="1:1" s="3" customFormat="1" x14ac:dyDescent="0.25">
      <c r="A169" s="63"/>
    </row>
    <row r="170" spans="1:1" s="3" customFormat="1" x14ac:dyDescent="0.25">
      <c r="A170" s="63"/>
    </row>
    <row r="171" spans="1:1" s="3" customFormat="1" x14ac:dyDescent="0.25">
      <c r="A171" s="63"/>
    </row>
    <row r="172" spans="1:1" s="3" customFormat="1" x14ac:dyDescent="0.25">
      <c r="A172" s="63"/>
    </row>
    <row r="173" spans="1:1" s="3" customFormat="1" x14ac:dyDescent="0.25">
      <c r="A173" s="63"/>
    </row>
    <row r="174" spans="1:1" s="3" customFormat="1" x14ac:dyDescent="0.25">
      <c r="A174" s="63"/>
    </row>
    <row r="175" spans="1:1" s="3" customFormat="1" x14ac:dyDescent="0.25">
      <c r="A175" s="63"/>
    </row>
    <row r="176" spans="1:1" s="3" customFormat="1" x14ac:dyDescent="0.25">
      <c r="A176" s="63"/>
    </row>
    <row r="177" spans="1:16" s="3" customFormat="1" x14ac:dyDescent="0.25">
      <c r="A177" s="63"/>
    </row>
    <row r="178" spans="1:16" s="3" customFormat="1" x14ac:dyDescent="0.25">
      <c r="A178" s="63"/>
    </row>
    <row r="179" spans="1:16" s="3" customFormat="1" x14ac:dyDescent="0.25">
      <c r="A179" s="63"/>
    </row>
    <row r="180" spans="1:16" s="3" customFormat="1" x14ac:dyDescent="0.25">
      <c r="A180" s="63"/>
    </row>
    <row r="181" spans="1:16" s="3" customFormat="1" x14ac:dyDescent="0.25">
      <c r="A181" s="63"/>
    </row>
    <row r="182" spans="1:16" s="3" customFormat="1" x14ac:dyDescent="0.25">
      <c r="A182" s="63"/>
    </row>
    <row r="183" spans="1:16" s="3" customFormat="1" x14ac:dyDescent="0.25">
      <c r="A183" s="63"/>
    </row>
    <row r="184" spans="1:16" s="3" customFormat="1" x14ac:dyDescent="0.25">
      <c r="A184" s="63"/>
    </row>
    <row r="185" spans="1:16" s="3" customFormat="1" x14ac:dyDescent="0.25">
      <c r="A185" s="63"/>
    </row>
    <row r="187" spans="1:16" s="3" customFormat="1" x14ac:dyDescent="0.25">
      <c r="A187" s="3" t="s">
        <v>172</v>
      </c>
    </row>
    <row r="188" spans="1:16" s="3" customFormat="1" x14ac:dyDescent="0.25">
      <c r="B188" s="33" t="s">
        <v>0</v>
      </c>
      <c r="C188" s="30" t="s">
        <v>8</v>
      </c>
      <c r="D188" s="31" t="s">
        <v>9</v>
      </c>
      <c r="E188" s="31" t="s">
        <v>10</v>
      </c>
      <c r="F188" s="31" t="s">
        <v>11</v>
      </c>
      <c r="G188" s="31" t="s">
        <v>12</v>
      </c>
      <c r="H188" s="32" t="s">
        <v>13</v>
      </c>
    </row>
    <row r="189" spans="1:16" s="3" customFormat="1" x14ac:dyDescent="0.25">
      <c r="A189" s="15" t="s">
        <v>66</v>
      </c>
      <c r="B189" s="36">
        <v>0</v>
      </c>
      <c r="C189" s="18">
        <v>0</v>
      </c>
      <c r="D189" s="18">
        <v>0</v>
      </c>
      <c r="E189" s="18">
        <v>0</v>
      </c>
      <c r="F189" s="18">
        <v>0</v>
      </c>
      <c r="G189" s="18">
        <v>0</v>
      </c>
      <c r="H189" s="13">
        <v>0</v>
      </c>
      <c r="J189" s="69"/>
      <c r="K189" s="69"/>
      <c r="L189" s="69"/>
      <c r="M189" s="69"/>
      <c r="N189" s="69"/>
      <c r="O189" s="69"/>
      <c r="P189" s="69"/>
    </row>
    <row r="190" spans="1:16" s="3" customFormat="1" x14ac:dyDescent="0.25">
      <c r="A190" s="17" t="s">
        <v>67</v>
      </c>
      <c r="B190" s="36">
        <v>0</v>
      </c>
      <c r="C190" s="18">
        <v>0</v>
      </c>
      <c r="D190" s="18">
        <v>0</v>
      </c>
      <c r="E190" s="18">
        <v>0</v>
      </c>
      <c r="F190" s="18">
        <v>0</v>
      </c>
      <c r="G190" s="18">
        <v>0</v>
      </c>
      <c r="H190" s="13">
        <v>0</v>
      </c>
      <c r="J190" s="69"/>
      <c r="K190" s="69"/>
      <c r="L190" s="69"/>
      <c r="M190" s="69"/>
      <c r="N190" s="69"/>
      <c r="O190" s="69"/>
      <c r="P190" s="69"/>
    </row>
    <row r="191" spans="1:16" s="3" customFormat="1" x14ac:dyDescent="0.25">
      <c r="A191" s="17" t="s">
        <v>70</v>
      </c>
      <c r="B191" s="36" t="s">
        <v>92</v>
      </c>
      <c r="C191" s="18" t="s">
        <v>92</v>
      </c>
      <c r="D191" s="18" t="s">
        <v>92</v>
      </c>
      <c r="E191" s="18">
        <v>0</v>
      </c>
      <c r="F191" s="18">
        <v>0</v>
      </c>
      <c r="G191" s="18">
        <v>0</v>
      </c>
      <c r="H191" s="13">
        <v>0</v>
      </c>
      <c r="J191" s="69"/>
      <c r="K191" s="69"/>
      <c r="L191" s="69"/>
      <c r="M191" s="69"/>
      <c r="N191" s="69"/>
      <c r="O191" s="69"/>
      <c r="P191" s="69"/>
    </row>
    <row r="192" spans="1:16" s="3" customFormat="1" x14ac:dyDescent="0.25">
      <c r="A192" s="17" t="s">
        <v>71</v>
      </c>
      <c r="B192" s="36">
        <v>0.3</v>
      </c>
      <c r="C192" s="18">
        <v>0.1</v>
      </c>
      <c r="D192" s="18" t="s">
        <v>92</v>
      </c>
      <c r="E192" s="18" t="s">
        <v>92</v>
      </c>
      <c r="F192" s="18" t="s">
        <v>92</v>
      </c>
      <c r="G192" s="18" t="s">
        <v>92</v>
      </c>
      <c r="H192" s="13">
        <v>0.6</v>
      </c>
      <c r="J192" s="69"/>
      <c r="K192" s="69"/>
      <c r="L192" s="69"/>
      <c r="M192" s="69"/>
      <c r="N192" s="69"/>
      <c r="O192" s="69"/>
      <c r="P192" s="69"/>
    </row>
    <row r="193" spans="1:16" s="3" customFormat="1" x14ac:dyDescent="0.25">
      <c r="A193" s="17" t="s">
        <v>68</v>
      </c>
      <c r="B193" s="36">
        <v>2.5</v>
      </c>
      <c r="C193" s="18">
        <v>1.0999999999999999</v>
      </c>
      <c r="D193" s="18">
        <v>1.3</v>
      </c>
      <c r="E193" s="18">
        <v>1.2</v>
      </c>
      <c r="F193" s="18">
        <v>1.3</v>
      </c>
      <c r="G193" s="18">
        <v>1</v>
      </c>
      <c r="H193" s="13">
        <v>4.3999999999999995</v>
      </c>
      <c r="J193" s="69"/>
      <c r="K193" s="69"/>
      <c r="L193" s="69"/>
      <c r="M193" s="69"/>
      <c r="N193" s="69"/>
      <c r="O193" s="69"/>
      <c r="P193" s="69"/>
    </row>
    <row r="194" spans="1:16" s="3" customFormat="1" x14ac:dyDescent="0.25">
      <c r="A194" s="19" t="s">
        <v>69</v>
      </c>
      <c r="B194" s="37">
        <v>97.3</v>
      </c>
      <c r="C194" s="20">
        <v>98.8</v>
      </c>
      <c r="D194" s="20">
        <v>98.7</v>
      </c>
      <c r="E194" s="20">
        <v>98.7</v>
      </c>
      <c r="F194" s="20">
        <v>98.7</v>
      </c>
      <c r="G194" s="20">
        <v>98.9</v>
      </c>
      <c r="H194" s="14">
        <v>95</v>
      </c>
      <c r="J194" s="69"/>
      <c r="K194" s="69"/>
      <c r="L194" s="69"/>
      <c r="M194" s="69"/>
      <c r="N194" s="69"/>
      <c r="O194" s="69"/>
      <c r="P194" s="69"/>
    </row>
    <row r="195" spans="1:16" s="3" customFormat="1" x14ac:dyDescent="0.25">
      <c r="A195" s="8" t="s">
        <v>116</v>
      </c>
    </row>
    <row r="196" spans="1:16" s="3" customFormat="1" x14ac:dyDescent="0.25">
      <c r="A196" s="8" t="s">
        <v>7</v>
      </c>
    </row>
  </sheetData>
  <hyperlinks>
    <hyperlink ref="H1" location="'Lisez-moi'!A1" display="Retour au sommair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N287"/>
  <sheetViews>
    <sheetView topLeftCell="A256" workbookViewId="0">
      <selection activeCell="I285" sqref="I285"/>
    </sheetView>
  </sheetViews>
  <sheetFormatPr baseColWidth="10" defaultRowHeight="15" x14ac:dyDescent="0.25"/>
  <cols>
    <col min="1" max="1" width="88.140625" style="3" customWidth="1"/>
    <col min="2" max="7" width="16" style="3" customWidth="1"/>
    <col min="8" max="16384" width="11.42578125" style="3"/>
  </cols>
  <sheetData>
    <row r="1" spans="1:14" x14ac:dyDescent="0.25">
      <c r="A1" s="4" t="s">
        <v>173</v>
      </c>
      <c r="F1" s="76" t="s">
        <v>111</v>
      </c>
    </row>
    <row r="3" spans="1:14" x14ac:dyDescent="0.25">
      <c r="A3" s="3" t="s">
        <v>174</v>
      </c>
    </row>
    <row r="4" spans="1:14" ht="105.75" customHeight="1" x14ac:dyDescent="0.25">
      <c r="B4" s="51" t="s">
        <v>66</v>
      </c>
      <c r="C4" s="47" t="s">
        <v>67</v>
      </c>
      <c r="D4" s="47" t="s">
        <v>70</v>
      </c>
      <c r="E4" s="47" t="s">
        <v>71</v>
      </c>
      <c r="F4" s="47" t="s">
        <v>68</v>
      </c>
      <c r="G4" s="50" t="s">
        <v>69</v>
      </c>
    </row>
    <row r="5" spans="1:14" x14ac:dyDescent="0.25">
      <c r="A5" s="42" t="s">
        <v>0</v>
      </c>
      <c r="B5" s="23">
        <v>56.699999999999996</v>
      </c>
      <c r="C5" s="20">
        <v>16.3</v>
      </c>
      <c r="D5" s="20">
        <v>8.9</v>
      </c>
      <c r="E5" s="20">
        <v>7.3999999999999995</v>
      </c>
      <c r="F5" s="66">
        <v>6</v>
      </c>
      <c r="G5" s="14">
        <v>4.7</v>
      </c>
      <c r="I5" s="69"/>
      <c r="J5" s="69"/>
      <c r="K5" s="69"/>
      <c r="L5" s="69"/>
      <c r="M5" s="69"/>
      <c r="N5" s="69"/>
    </row>
    <row r="6" spans="1:14" x14ac:dyDescent="0.25">
      <c r="A6" s="6" t="s">
        <v>51</v>
      </c>
      <c r="B6" s="22">
        <v>41.9</v>
      </c>
      <c r="C6" s="18">
        <v>44.4</v>
      </c>
      <c r="D6" s="18">
        <v>8.5</v>
      </c>
      <c r="E6" s="18">
        <v>2.5</v>
      </c>
      <c r="F6" s="67" t="s">
        <v>92</v>
      </c>
      <c r="G6" s="13">
        <v>1.7000000000000002</v>
      </c>
      <c r="I6" s="69"/>
      <c r="J6" s="69"/>
      <c r="K6" s="69"/>
      <c r="L6" s="69"/>
      <c r="M6" s="69"/>
      <c r="N6" s="69"/>
    </row>
    <row r="7" spans="1:14" x14ac:dyDescent="0.25">
      <c r="A7" s="6" t="s">
        <v>16</v>
      </c>
      <c r="B7" s="22">
        <v>71.399999999999991</v>
      </c>
      <c r="C7" s="18">
        <v>16.3</v>
      </c>
      <c r="D7" s="18">
        <v>6</v>
      </c>
      <c r="E7" s="18">
        <v>1.4000000000000001</v>
      </c>
      <c r="F7" s="67">
        <v>1.4000000000000001</v>
      </c>
      <c r="G7" s="13">
        <v>3.5000000000000004</v>
      </c>
      <c r="I7" s="69"/>
      <c r="J7" s="69"/>
      <c r="K7" s="69"/>
      <c r="L7" s="69"/>
      <c r="M7" s="69"/>
      <c r="N7" s="69"/>
    </row>
    <row r="8" spans="1:14" x14ac:dyDescent="0.25">
      <c r="A8" s="6" t="s">
        <v>17</v>
      </c>
      <c r="B8" s="22" t="s">
        <v>92</v>
      </c>
      <c r="C8" s="18">
        <v>98.6</v>
      </c>
      <c r="D8" s="18" t="s">
        <v>92</v>
      </c>
      <c r="E8" s="18">
        <v>0</v>
      </c>
      <c r="F8" s="67">
        <v>0</v>
      </c>
      <c r="G8" s="13">
        <v>0</v>
      </c>
      <c r="I8" s="69"/>
      <c r="J8" s="69"/>
      <c r="K8" s="69"/>
      <c r="L8" s="69"/>
      <c r="M8" s="69"/>
      <c r="N8" s="69"/>
    </row>
    <row r="9" spans="1:14" x14ac:dyDescent="0.25">
      <c r="A9" s="6" t="s">
        <v>18</v>
      </c>
      <c r="B9" s="22">
        <v>41.5</v>
      </c>
      <c r="C9" s="18">
        <v>28.7</v>
      </c>
      <c r="D9" s="18">
        <v>15.299999999999999</v>
      </c>
      <c r="E9" s="18">
        <v>5.7</v>
      </c>
      <c r="F9" s="67">
        <v>6</v>
      </c>
      <c r="G9" s="13">
        <v>2.8000000000000003</v>
      </c>
      <c r="I9" s="69"/>
      <c r="J9" s="69"/>
      <c r="K9" s="69"/>
      <c r="L9" s="69"/>
      <c r="M9" s="69"/>
      <c r="N9" s="69"/>
    </row>
    <row r="10" spans="1:14" x14ac:dyDescent="0.25">
      <c r="A10" s="6" t="s">
        <v>19</v>
      </c>
      <c r="B10" s="22">
        <v>29.7</v>
      </c>
      <c r="C10" s="18">
        <v>34.599999999999994</v>
      </c>
      <c r="D10" s="18">
        <v>27.3</v>
      </c>
      <c r="E10" s="18">
        <v>3.1</v>
      </c>
      <c r="F10" s="67">
        <v>4.1000000000000005</v>
      </c>
      <c r="G10" s="13">
        <v>1.2</v>
      </c>
      <c r="I10" s="69"/>
      <c r="J10" s="69"/>
      <c r="K10" s="69"/>
      <c r="L10" s="69"/>
      <c r="M10" s="69"/>
      <c r="N10" s="69"/>
    </row>
    <row r="11" spans="1:14" x14ac:dyDescent="0.25">
      <c r="A11" s="6" t="s">
        <v>20</v>
      </c>
      <c r="B11" s="22">
        <v>61.7</v>
      </c>
      <c r="C11" s="18">
        <v>21</v>
      </c>
      <c r="D11" s="18">
        <v>8.2000000000000011</v>
      </c>
      <c r="E11" s="18">
        <v>3.9</v>
      </c>
      <c r="F11" s="67">
        <v>2.1999999999999997</v>
      </c>
      <c r="G11" s="13">
        <v>3.1</v>
      </c>
      <c r="I11" s="69"/>
      <c r="J11" s="69"/>
      <c r="K11" s="69"/>
      <c r="L11" s="69"/>
      <c r="M11" s="69"/>
      <c r="N11" s="69"/>
    </row>
    <row r="12" spans="1:14" x14ac:dyDescent="0.25">
      <c r="A12" s="6" t="s">
        <v>21</v>
      </c>
      <c r="B12" s="22">
        <v>84.8</v>
      </c>
      <c r="C12" s="18">
        <v>9.1</v>
      </c>
      <c r="D12" s="18">
        <v>2.6</v>
      </c>
      <c r="E12" s="18">
        <v>0.89999999999999991</v>
      </c>
      <c r="F12" s="67">
        <v>1.0999999999999999</v>
      </c>
      <c r="G12" s="13">
        <v>1.5</v>
      </c>
      <c r="I12" s="69"/>
      <c r="J12" s="69"/>
      <c r="K12" s="69"/>
      <c r="L12" s="69"/>
      <c r="M12" s="69"/>
      <c r="N12" s="69"/>
    </row>
    <row r="13" spans="1:14" x14ac:dyDescent="0.25">
      <c r="A13" s="6" t="s">
        <v>22</v>
      </c>
      <c r="B13" s="22">
        <v>71.3</v>
      </c>
      <c r="C13" s="18">
        <v>10.299999999999999</v>
      </c>
      <c r="D13" s="18">
        <v>5.0999999999999996</v>
      </c>
      <c r="E13" s="18">
        <v>5.3</v>
      </c>
      <c r="F13" s="67">
        <v>2.8000000000000003</v>
      </c>
      <c r="G13" s="13">
        <v>5.0999999999999996</v>
      </c>
      <c r="I13" s="69"/>
      <c r="J13" s="69"/>
      <c r="K13" s="69"/>
      <c r="L13" s="69"/>
      <c r="M13" s="69"/>
      <c r="N13" s="69"/>
    </row>
    <row r="14" spans="1:14" x14ac:dyDescent="0.25">
      <c r="A14" s="6" t="s">
        <v>23</v>
      </c>
      <c r="B14" s="22">
        <v>52.1</v>
      </c>
      <c r="C14" s="18">
        <v>19</v>
      </c>
      <c r="D14" s="18">
        <v>11.200000000000001</v>
      </c>
      <c r="E14" s="18">
        <v>4.2</v>
      </c>
      <c r="F14" s="67">
        <v>8.6</v>
      </c>
      <c r="G14" s="13">
        <v>5</v>
      </c>
      <c r="I14" s="69"/>
      <c r="J14" s="69"/>
      <c r="K14" s="69"/>
      <c r="L14" s="69"/>
      <c r="M14" s="69"/>
      <c r="N14" s="69"/>
    </row>
    <row r="15" spans="1:14" x14ac:dyDescent="0.25">
      <c r="A15" s="6" t="s">
        <v>24</v>
      </c>
      <c r="B15" s="22">
        <v>44.7</v>
      </c>
      <c r="C15" s="18">
        <v>11.5</v>
      </c>
      <c r="D15" s="18">
        <v>13.600000000000001</v>
      </c>
      <c r="E15" s="18">
        <v>5.7</v>
      </c>
      <c r="F15" s="67">
        <v>16.400000000000002</v>
      </c>
      <c r="G15" s="13">
        <v>8</v>
      </c>
      <c r="I15" s="69"/>
      <c r="J15" s="69"/>
      <c r="K15" s="69"/>
      <c r="L15" s="69"/>
      <c r="M15" s="69"/>
      <c r="N15" s="69"/>
    </row>
    <row r="16" spans="1:14" x14ac:dyDescent="0.25">
      <c r="A16" s="6" t="s">
        <v>25</v>
      </c>
      <c r="B16" s="22">
        <v>9.1</v>
      </c>
      <c r="C16" s="18">
        <v>9.9</v>
      </c>
      <c r="D16" s="18">
        <v>10.8</v>
      </c>
      <c r="E16" s="18">
        <v>34.1</v>
      </c>
      <c r="F16" s="67">
        <v>28.299999999999997</v>
      </c>
      <c r="G16" s="13">
        <v>7.8</v>
      </c>
      <c r="I16" s="69"/>
      <c r="J16" s="69"/>
      <c r="K16" s="69"/>
      <c r="L16" s="69"/>
      <c r="M16" s="69"/>
      <c r="N16" s="69"/>
    </row>
    <row r="17" spans="1:14" x14ac:dyDescent="0.25">
      <c r="A17" s="6" t="s">
        <v>26</v>
      </c>
      <c r="B17" s="22">
        <v>24.9</v>
      </c>
      <c r="C17" s="18">
        <v>23.9</v>
      </c>
      <c r="D17" s="18">
        <v>26.700000000000003</v>
      </c>
      <c r="E17" s="18">
        <v>16.3</v>
      </c>
      <c r="F17" s="67">
        <v>5</v>
      </c>
      <c r="G17" s="13">
        <v>3.1</v>
      </c>
      <c r="I17" s="69"/>
      <c r="J17" s="69"/>
      <c r="K17" s="69"/>
      <c r="L17" s="69"/>
      <c r="M17" s="69"/>
      <c r="N17" s="69"/>
    </row>
    <row r="18" spans="1:14" x14ac:dyDescent="0.25">
      <c r="A18" s="6" t="s">
        <v>27</v>
      </c>
      <c r="B18" s="22">
        <v>54</v>
      </c>
      <c r="C18" s="18">
        <v>13.200000000000001</v>
      </c>
      <c r="D18" s="18">
        <v>7.5</v>
      </c>
      <c r="E18" s="18">
        <v>16.900000000000002</v>
      </c>
      <c r="F18" s="67">
        <v>3.3000000000000003</v>
      </c>
      <c r="G18" s="13">
        <v>5.0999999999999996</v>
      </c>
      <c r="I18" s="69"/>
      <c r="J18" s="69"/>
      <c r="K18" s="69"/>
      <c r="L18" s="69"/>
      <c r="M18" s="69"/>
      <c r="N18" s="69"/>
    </row>
    <row r="19" spans="1:14" x14ac:dyDescent="0.25">
      <c r="A19" s="6" t="s">
        <v>28</v>
      </c>
      <c r="B19" s="22">
        <v>45.1</v>
      </c>
      <c r="C19" s="18">
        <v>18.5</v>
      </c>
      <c r="D19" s="18">
        <v>9.9</v>
      </c>
      <c r="E19" s="18">
        <v>12.3</v>
      </c>
      <c r="F19" s="67">
        <v>8.1</v>
      </c>
      <c r="G19" s="13">
        <v>6.1</v>
      </c>
      <c r="I19" s="69"/>
      <c r="J19" s="69"/>
      <c r="K19" s="69"/>
      <c r="L19" s="69"/>
      <c r="M19" s="69"/>
      <c r="N19" s="69"/>
    </row>
    <row r="20" spans="1:14" x14ac:dyDescent="0.25">
      <c r="A20" s="6" t="s">
        <v>29</v>
      </c>
      <c r="B20" s="22">
        <v>78.8</v>
      </c>
      <c r="C20" s="18">
        <v>11</v>
      </c>
      <c r="D20" s="18">
        <v>2.5</v>
      </c>
      <c r="E20" s="18">
        <v>1.7999999999999998</v>
      </c>
      <c r="F20" s="67">
        <v>1.3</v>
      </c>
      <c r="G20" s="13">
        <v>4.5999999999999996</v>
      </c>
      <c r="I20" s="69"/>
      <c r="J20" s="69"/>
      <c r="K20" s="69"/>
      <c r="L20" s="69"/>
      <c r="M20" s="69"/>
      <c r="N20" s="69"/>
    </row>
    <row r="21" spans="1:14" x14ac:dyDescent="0.25">
      <c r="A21" s="7" t="s">
        <v>30</v>
      </c>
      <c r="B21" s="23">
        <v>50.1</v>
      </c>
      <c r="C21" s="20">
        <v>16.600000000000001</v>
      </c>
      <c r="D21" s="20">
        <v>8.3000000000000007</v>
      </c>
      <c r="E21" s="20">
        <v>9.1</v>
      </c>
      <c r="F21" s="66">
        <v>9.1</v>
      </c>
      <c r="G21" s="14">
        <v>6.8000000000000007</v>
      </c>
      <c r="I21" s="69"/>
      <c r="J21" s="69"/>
      <c r="K21" s="69"/>
      <c r="L21" s="69"/>
      <c r="M21" s="69"/>
      <c r="N21" s="69"/>
    </row>
    <row r="22" spans="1:14" x14ac:dyDescent="0.25">
      <c r="A22" s="8" t="s">
        <v>116</v>
      </c>
    </row>
    <row r="23" spans="1:14" x14ac:dyDescent="0.25">
      <c r="A23" s="8" t="s">
        <v>7</v>
      </c>
    </row>
    <row r="24" spans="1:14" x14ac:dyDescent="0.25">
      <c r="A24" s="63"/>
    </row>
    <row r="25" spans="1:14" x14ac:dyDescent="0.25">
      <c r="A25" s="63"/>
    </row>
    <row r="26" spans="1:14" x14ac:dyDescent="0.25">
      <c r="A26" s="63"/>
    </row>
    <row r="27" spans="1:14" x14ac:dyDescent="0.25">
      <c r="A27" s="63"/>
    </row>
    <row r="28" spans="1:14" x14ac:dyDescent="0.25">
      <c r="A28" s="63"/>
    </row>
    <row r="29" spans="1:14" x14ac:dyDescent="0.25">
      <c r="A29" s="63"/>
    </row>
    <row r="30" spans="1:14" x14ac:dyDescent="0.25">
      <c r="A30" s="63"/>
    </row>
    <row r="31" spans="1:14" x14ac:dyDescent="0.25">
      <c r="A31" s="63"/>
    </row>
    <row r="32" spans="1:14" x14ac:dyDescent="0.25">
      <c r="A32" s="63"/>
    </row>
    <row r="33" spans="1:1" x14ac:dyDescent="0.25">
      <c r="A33" s="63"/>
    </row>
    <row r="34" spans="1:1" x14ac:dyDescent="0.25">
      <c r="A34" s="63"/>
    </row>
    <row r="35" spans="1:1" x14ac:dyDescent="0.25">
      <c r="A35" s="63"/>
    </row>
    <row r="36" spans="1:1" x14ac:dyDescent="0.25">
      <c r="A36" s="63"/>
    </row>
    <row r="37" spans="1:1" x14ac:dyDescent="0.25">
      <c r="A37" s="63"/>
    </row>
    <row r="38" spans="1:1" x14ac:dyDescent="0.25">
      <c r="A38" s="63"/>
    </row>
    <row r="39" spans="1:1" x14ac:dyDescent="0.25">
      <c r="A39" s="63"/>
    </row>
    <row r="40" spans="1:1" x14ac:dyDescent="0.25">
      <c r="A40" s="63"/>
    </row>
    <row r="41" spans="1:1" x14ac:dyDescent="0.25">
      <c r="A41" s="63"/>
    </row>
    <row r="42" spans="1:1" x14ac:dyDescent="0.25">
      <c r="A42" s="63"/>
    </row>
    <row r="43" spans="1:1" x14ac:dyDescent="0.25">
      <c r="A43" s="63"/>
    </row>
    <row r="44" spans="1:1" x14ac:dyDescent="0.25">
      <c r="A44" s="63"/>
    </row>
    <row r="45" spans="1:1" x14ac:dyDescent="0.25">
      <c r="A45" s="63"/>
    </row>
    <row r="46" spans="1:1" x14ac:dyDescent="0.25">
      <c r="A46" s="63"/>
    </row>
    <row r="47" spans="1:1" x14ac:dyDescent="0.25">
      <c r="A47" s="63"/>
    </row>
    <row r="48" spans="1:1" x14ac:dyDescent="0.25">
      <c r="A48" s="63"/>
    </row>
    <row r="49" spans="1:13" x14ac:dyDescent="0.25">
      <c r="A49" s="63"/>
    </row>
    <row r="50" spans="1:13" x14ac:dyDescent="0.25">
      <c r="A50" s="63"/>
    </row>
    <row r="51" spans="1:13" x14ac:dyDescent="0.25">
      <c r="A51" s="63"/>
    </row>
    <row r="52" spans="1:13" x14ac:dyDescent="0.25">
      <c r="A52" s="63"/>
    </row>
    <row r="53" spans="1:13" x14ac:dyDescent="0.25">
      <c r="A53" s="63"/>
    </row>
    <row r="55" spans="1:13" x14ac:dyDescent="0.25">
      <c r="A55" s="3" t="s">
        <v>175</v>
      </c>
    </row>
    <row r="56" spans="1:13" ht="105.75" customHeight="1" x14ac:dyDescent="0.25">
      <c r="B56" s="51" t="s">
        <v>66</v>
      </c>
      <c r="C56" s="47" t="s">
        <v>67</v>
      </c>
      <c r="D56" s="47" t="s">
        <v>70</v>
      </c>
      <c r="E56" s="47" t="s">
        <v>71</v>
      </c>
      <c r="F56" s="47" t="s">
        <v>68</v>
      </c>
      <c r="G56" s="50" t="s">
        <v>69</v>
      </c>
    </row>
    <row r="57" spans="1:13" x14ac:dyDescent="0.25">
      <c r="A57" s="42" t="s">
        <v>0</v>
      </c>
      <c r="B57" s="23">
        <v>5.8999999999999995</v>
      </c>
      <c r="C57" s="20">
        <v>8.3000000000000007</v>
      </c>
      <c r="D57" s="20">
        <v>8.4</v>
      </c>
      <c r="E57" s="20">
        <v>11.600000000000001</v>
      </c>
      <c r="F57" s="66">
        <v>30.099999999999998</v>
      </c>
      <c r="G57" s="14">
        <v>35.799999999999997</v>
      </c>
      <c r="H57" s="69"/>
      <c r="I57" s="69"/>
      <c r="J57" s="69"/>
      <c r="K57" s="69"/>
      <c r="L57" s="69"/>
      <c r="M57" s="69"/>
    </row>
    <row r="58" spans="1:13" x14ac:dyDescent="0.25">
      <c r="A58" s="6" t="s">
        <v>51</v>
      </c>
      <c r="B58" s="22" t="s">
        <v>92</v>
      </c>
      <c r="C58" s="18" t="s">
        <v>92</v>
      </c>
      <c r="D58" s="18">
        <v>24.8</v>
      </c>
      <c r="E58" s="18">
        <v>19.5</v>
      </c>
      <c r="F58" s="67">
        <v>32.200000000000003</v>
      </c>
      <c r="G58" s="13">
        <v>13.900000000000002</v>
      </c>
      <c r="H58" s="69"/>
      <c r="I58" s="69"/>
      <c r="J58" s="69"/>
      <c r="K58" s="69"/>
      <c r="L58" s="69"/>
      <c r="M58" s="69"/>
    </row>
    <row r="59" spans="1:13" x14ac:dyDescent="0.25">
      <c r="A59" s="6" t="s">
        <v>16</v>
      </c>
      <c r="B59" s="22">
        <v>0.70000000000000007</v>
      </c>
      <c r="C59" s="18">
        <v>3.4000000000000004</v>
      </c>
      <c r="D59" s="18">
        <v>4.2</v>
      </c>
      <c r="E59" s="18">
        <v>10.8</v>
      </c>
      <c r="F59" s="67">
        <v>39.300000000000004</v>
      </c>
      <c r="G59" s="13">
        <v>41.6</v>
      </c>
      <c r="H59" s="69"/>
      <c r="I59" s="69"/>
      <c r="J59" s="69"/>
      <c r="K59" s="69"/>
      <c r="L59" s="69"/>
      <c r="M59" s="69"/>
    </row>
    <row r="60" spans="1:13" x14ac:dyDescent="0.25">
      <c r="A60" s="6" t="s">
        <v>17</v>
      </c>
      <c r="B60" s="22">
        <v>0</v>
      </c>
      <c r="C60" s="18">
        <v>0</v>
      </c>
      <c r="D60" s="18">
        <v>0</v>
      </c>
      <c r="E60" s="18">
        <v>96</v>
      </c>
      <c r="F60" s="67" t="s">
        <v>92</v>
      </c>
      <c r="G60" s="13" t="s">
        <v>92</v>
      </c>
      <c r="H60" s="69"/>
      <c r="I60" s="69"/>
      <c r="J60" s="69"/>
      <c r="K60" s="69"/>
      <c r="L60" s="69"/>
      <c r="M60" s="69"/>
    </row>
    <row r="61" spans="1:13" x14ac:dyDescent="0.25">
      <c r="A61" s="6" t="s">
        <v>18</v>
      </c>
      <c r="B61" s="22">
        <v>6.2</v>
      </c>
      <c r="C61" s="18">
        <v>8.7999999999999989</v>
      </c>
      <c r="D61" s="18">
        <v>18.3</v>
      </c>
      <c r="E61" s="18">
        <v>23.599999999999998</v>
      </c>
      <c r="F61" s="67">
        <v>30.5</v>
      </c>
      <c r="G61" s="13">
        <v>12.5</v>
      </c>
      <c r="H61" s="69"/>
      <c r="I61" s="69"/>
      <c r="J61" s="69"/>
      <c r="K61" s="69"/>
      <c r="L61" s="69"/>
      <c r="M61" s="69"/>
    </row>
    <row r="62" spans="1:13" x14ac:dyDescent="0.25">
      <c r="A62" s="6" t="s">
        <v>19</v>
      </c>
      <c r="B62" s="22">
        <v>5.0999999999999996</v>
      </c>
      <c r="C62" s="18">
        <v>5.8999999999999995</v>
      </c>
      <c r="D62" s="18">
        <v>24.8</v>
      </c>
      <c r="E62" s="18">
        <v>32.300000000000004</v>
      </c>
      <c r="F62" s="67">
        <v>23.599999999999998</v>
      </c>
      <c r="G62" s="13">
        <v>8.4</v>
      </c>
      <c r="H62" s="69"/>
      <c r="I62" s="69"/>
      <c r="J62" s="69"/>
      <c r="K62" s="69"/>
      <c r="L62" s="69"/>
      <c r="M62" s="69"/>
    </row>
    <row r="63" spans="1:13" x14ac:dyDescent="0.25">
      <c r="A63" s="6" t="s">
        <v>20</v>
      </c>
      <c r="B63" s="22">
        <v>1.6</v>
      </c>
      <c r="C63" s="18">
        <v>3.4000000000000004</v>
      </c>
      <c r="D63" s="18">
        <v>6.1</v>
      </c>
      <c r="E63" s="18">
        <v>17.299999999999997</v>
      </c>
      <c r="F63" s="67">
        <v>42.5</v>
      </c>
      <c r="G63" s="13">
        <v>29.2</v>
      </c>
      <c r="H63" s="69"/>
      <c r="I63" s="69"/>
      <c r="J63" s="69"/>
      <c r="K63" s="69"/>
      <c r="L63" s="69"/>
      <c r="M63" s="69"/>
    </row>
    <row r="64" spans="1:13" x14ac:dyDescent="0.25">
      <c r="A64" s="6" t="s">
        <v>21</v>
      </c>
      <c r="B64" s="22">
        <v>0.89999999999999991</v>
      </c>
      <c r="C64" s="18">
        <v>0.6</v>
      </c>
      <c r="D64" s="18">
        <v>1.4000000000000001</v>
      </c>
      <c r="E64" s="18">
        <v>8.5</v>
      </c>
      <c r="F64" s="67">
        <v>33.200000000000003</v>
      </c>
      <c r="G64" s="13">
        <v>55.400000000000006</v>
      </c>
      <c r="H64" s="69"/>
      <c r="I64" s="69"/>
      <c r="J64" s="69"/>
      <c r="K64" s="69"/>
      <c r="L64" s="69"/>
      <c r="M64" s="69"/>
    </row>
    <row r="65" spans="1:13" x14ac:dyDescent="0.25">
      <c r="A65" s="6" t="s">
        <v>22</v>
      </c>
      <c r="B65" s="22">
        <v>5.2</v>
      </c>
      <c r="C65" s="18">
        <v>4.7</v>
      </c>
      <c r="D65" s="18">
        <v>5.5</v>
      </c>
      <c r="E65" s="18">
        <v>9.5</v>
      </c>
      <c r="F65" s="67">
        <v>30.599999999999998</v>
      </c>
      <c r="G65" s="13">
        <v>44.4</v>
      </c>
      <c r="H65" s="69"/>
      <c r="I65" s="69"/>
      <c r="J65" s="69"/>
      <c r="K65" s="69"/>
      <c r="L65" s="69"/>
      <c r="M65" s="69"/>
    </row>
    <row r="66" spans="1:13" x14ac:dyDescent="0.25">
      <c r="A66" s="6" t="s">
        <v>23</v>
      </c>
      <c r="B66" s="22">
        <v>1.0999999999999999</v>
      </c>
      <c r="C66" s="18">
        <v>16</v>
      </c>
      <c r="D66" s="18">
        <v>2.2999999999999998</v>
      </c>
      <c r="E66" s="18">
        <v>11.899999999999999</v>
      </c>
      <c r="F66" s="67">
        <v>28.799999999999997</v>
      </c>
      <c r="G66" s="13">
        <v>39.900000000000006</v>
      </c>
      <c r="H66" s="69"/>
      <c r="I66" s="69"/>
      <c r="J66" s="69"/>
      <c r="K66" s="69"/>
      <c r="L66" s="69"/>
      <c r="M66" s="69"/>
    </row>
    <row r="67" spans="1:13" x14ac:dyDescent="0.25">
      <c r="A67" s="6" t="s">
        <v>24</v>
      </c>
      <c r="B67" s="22" t="s">
        <v>92</v>
      </c>
      <c r="C67" s="18">
        <v>1.3</v>
      </c>
      <c r="D67" s="18" t="s">
        <v>92</v>
      </c>
      <c r="E67" s="18">
        <v>1.3</v>
      </c>
      <c r="F67" s="67">
        <v>30.599999999999998</v>
      </c>
      <c r="G67" s="13">
        <v>65.8</v>
      </c>
      <c r="H67" s="69"/>
      <c r="I67" s="69"/>
      <c r="J67" s="69"/>
      <c r="K67" s="69"/>
      <c r="L67" s="69"/>
      <c r="M67" s="69"/>
    </row>
    <row r="68" spans="1:13" x14ac:dyDescent="0.25">
      <c r="A68" s="6" t="s">
        <v>25</v>
      </c>
      <c r="B68" s="22">
        <v>31.2</v>
      </c>
      <c r="C68" s="18">
        <v>30.099999999999998</v>
      </c>
      <c r="D68" s="18">
        <v>21.3</v>
      </c>
      <c r="E68" s="18">
        <v>7.9</v>
      </c>
      <c r="F68" s="67">
        <v>6.2</v>
      </c>
      <c r="G68" s="13">
        <v>3.3000000000000003</v>
      </c>
      <c r="H68" s="69"/>
      <c r="I68" s="69"/>
      <c r="J68" s="69"/>
      <c r="K68" s="69"/>
      <c r="L68" s="69"/>
      <c r="M68" s="69"/>
    </row>
    <row r="69" spans="1:13" x14ac:dyDescent="0.25">
      <c r="A69" s="6" t="s">
        <v>26</v>
      </c>
      <c r="B69" s="22">
        <v>12.6</v>
      </c>
      <c r="C69" s="18">
        <v>19.100000000000001</v>
      </c>
      <c r="D69" s="18">
        <v>27.800000000000004</v>
      </c>
      <c r="E69" s="18">
        <v>16.2</v>
      </c>
      <c r="F69" s="67">
        <v>20</v>
      </c>
      <c r="G69" s="13">
        <v>4.3</v>
      </c>
      <c r="H69" s="69"/>
      <c r="I69" s="69"/>
      <c r="J69" s="69"/>
      <c r="K69" s="69"/>
      <c r="L69" s="69"/>
      <c r="M69" s="69"/>
    </row>
    <row r="70" spans="1:13" x14ac:dyDescent="0.25">
      <c r="A70" s="6" t="s">
        <v>27</v>
      </c>
      <c r="B70" s="22">
        <v>2.9000000000000004</v>
      </c>
      <c r="C70" s="18">
        <v>18.099999999999998</v>
      </c>
      <c r="D70" s="18">
        <v>12.6</v>
      </c>
      <c r="E70" s="18">
        <v>15.5</v>
      </c>
      <c r="F70" s="67">
        <v>29.4</v>
      </c>
      <c r="G70" s="13">
        <v>21.6</v>
      </c>
      <c r="H70" s="69"/>
      <c r="I70" s="69"/>
      <c r="J70" s="69"/>
      <c r="K70" s="69"/>
      <c r="L70" s="69"/>
      <c r="M70" s="69"/>
    </row>
    <row r="71" spans="1:13" x14ac:dyDescent="0.25">
      <c r="A71" s="6" t="s">
        <v>28</v>
      </c>
      <c r="B71" s="22">
        <v>10.100000000000001</v>
      </c>
      <c r="C71" s="18">
        <v>12.1</v>
      </c>
      <c r="D71" s="18">
        <v>10.199999999999999</v>
      </c>
      <c r="E71" s="18">
        <v>12.9</v>
      </c>
      <c r="F71" s="67">
        <v>27.3</v>
      </c>
      <c r="G71" s="13">
        <v>27.400000000000002</v>
      </c>
      <c r="H71" s="69"/>
      <c r="I71" s="69"/>
      <c r="J71" s="69"/>
      <c r="K71" s="69"/>
      <c r="L71" s="69"/>
      <c r="M71" s="69"/>
    </row>
    <row r="72" spans="1:13" x14ac:dyDescent="0.25">
      <c r="A72" s="6" t="s">
        <v>29</v>
      </c>
      <c r="B72" s="22">
        <v>2.1</v>
      </c>
      <c r="C72" s="18">
        <v>2.4</v>
      </c>
      <c r="D72" s="18">
        <v>2.4</v>
      </c>
      <c r="E72" s="18">
        <v>6.6000000000000005</v>
      </c>
      <c r="F72" s="67">
        <v>35.299999999999997</v>
      </c>
      <c r="G72" s="13">
        <v>51.2</v>
      </c>
      <c r="H72" s="69"/>
      <c r="I72" s="69"/>
      <c r="J72" s="69"/>
      <c r="K72" s="69"/>
      <c r="L72" s="69"/>
      <c r="M72" s="69"/>
    </row>
    <row r="73" spans="1:13" x14ac:dyDescent="0.25">
      <c r="A73" s="7" t="s">
        <v>30</v>
      </c>
      <c r="B73" s="23">
        <v>7.5</v>
      </c>
      <c r="C73" s="20">
        <v>7.3</v>
      </c>
      <c r="D73" s="20">
        <v>7.1999999999999993</v>
      </c>
      <c r="E73" s="20">
        <v>10.4</v>
      </c>
      <c r="F73" s="66">
        <v>29.299999999999997</v>
      </c>
      <c r="G73" s="14">
        <v>38.299999999999997</v>
      </c>
      <c r="H73" s="69"/>
      <c r="I73" s="69"/>
      <c r="J73" s="69"/>
      <c r="K73" s="69"/>
      <c r="L73" s="69"/>
      <c r="M73" s="69"/>
    </row>
    <row r="74" spans="1:13" x14ac:dyDescent="0.25">
      <c r="A74" s="8" t="s">
        <v>116</v>
      </c>
    </row>
    <row r="75" spans="1:13" x14ac:dyDescent="0.25">
      <c r="A75" s="8" t="s">
        <v>7</v>
      </c>
    </row>
    <row r="76" spans="1:13" x14ac:dyDescent="0.25">
      <c r="A76" s="63"/>
    </row>
    <row r="77" spans="1:13" x14ac:dyDescent="0.25">
      <c r="A77" s="63"/>
    </row>
    <row r="78" spans="1:13" x14ac:dyDescent="0.25">
      <c r="A78" s="63"/>
    </row>
    <row r="79" spans="1:13" x14ac:dyDescent="0.25">
      <c r="A79" s="63"/>
    </row>
    <row r="80" spans="1:13" x14ac:dyDescent="0.25">
      <c r="A80" s="63"/>
    </row>
    <row r="81" spans="1:1" x14ac:dyDescent="0.25">
      <c r="A81" s="63"/>
    </row>
    <row r="82" spans="1:1" x14ac:dyDescent="0.25">
      <c r="A82" s="63"/>
    </row>
    <row r="83" spans="1:1" x14ac:dyDescent="0.25">
      <c r="A83" s="63"/>
    </row>
    <row r="84" spans="1:1" x14ac:dyDescent="0.25">
      <c r="A84" s="63"/>
    </row>
    <row r="85" spans="1:1" x14ac:dyDescent="0.25">
      <c r="A85" s="63"/>
    </row>
    <row r="86" spans="1:1" x14ac:dyDescent="0.25">
      <c r="A86" s="63"/>
    </row>
    <row r="87" spans="1:1" x14ac:dyDescent="0.25">
      <c r="A87" s="63"/>
    </row>
    <row r="88" spans="1:1" x14ac:dyDescent="0.25">
      <c r="A88" s="63"/>
    </row>
    <row r="89" spans="1:1" x14ac:dyDescent="0.25">
      <c r="A89" s="63"/>
    </row>
    <row r="90" spans="1:1" x14ac:dyDescent="0.25">
      <c r="A90" s="63"/>
    </row>
    <row r="91" spans="1:1" x14ac:dyDescent="0.25">
      <c r="A91" s="63"/>
    </row>
    <row r="92" spans="1:1" x14ac:dyDescent="0.25">
      <c r="A92" s="63"/>
    </row>
    <row r="93" spans="1:1" x14ac:dyDescent="0.25">
      <c r="A93" s="63"/>
    </row>
    <row r="94" spans="1:1" x14ac:dyDescent="0.25">
      <c r="A94" s="63"/>
    </row>
    <row r="95" spans="1:1" x14ac:dyDescent="0.25">
      <c r="A95" s="63"/>
    </row>
    <row r="96" spans="1:1" x14ac:dyDescent="0.25">
      <c r="A96" s="63"/>
    </row>
    <row r="97" spans="1:14" x14ac:dyDescent="0.25">
      <c r="A97" s="63"/>
    </row>
    <row r="98" spans="1:14" x14ac:dyDescent="0.25">
      <c r="A98" s="63"/>
    </row>
    <row r="99" spans="1:14" x14ac:dyDescent="0.25">
      <c r="A99" s="63"/>
    </row>
    <row r="100" spans="1:14" x14ac:dyDescent="0.25">
      <c r="A100" s="63"/>
    </row>
    <row r="101" spans="1:14" x14ac:dyDescent="0.25">
      <c r="A101" s="63"/>
    </row>
    <row r="102" spans="1:14" x14ac:dyDescent="0.25">
      <c r="A102" s="63"/>
    </row>
    <row r="103" spans="1:14" x14ac:dyDescent="0.25">
      <c r="A103" s="63"/>
    </row>
    <row r="104" spans="1:14" x14ac:dyDescent="0.25">
      <c r="A104" s="63"/>
    </row>
    <row r="105" spans="1:14" x14ac:dyDescent="0.25">
      <c r="A105" s="63"/>
    </row>
    <row r="107" spans="1:14" x14ac:dyDescent="0.25">
      <c r="A107" s="3" t="s">
        <v>176</v>
      </c>
    </row>
    <row r="108" spans="1:14" ht="105.75" customHeight="1" x14ac:dyDescent="0.25">
      <c r="B108" s="51" t="s">
        <v>66</v>
      </c>
      <c r="C108" s="47" t="s">
        <v>67</v>
      </c>
      <c r="D108" s="47" t="s">
        <v>70</v>
      </c>
      <c r="E108" s="47" t="s">
        <v>71</v>
      </c>
      <c r="F108" s="47" t="s">
        <v>68</v>
      </c>
      <c r="G108" s="50" t="s">
        <v>69</v>
      </c>
    </row>
    <row r="109" spans="1:14" x14ac:dyDescent="0.25">
      <c r="A109" s="42" t="s">
        <v>0</v>
      </c>
      <c r="B109" s="23">
        <f>HLOOKUP("q15cmod1",[1]data_rep!$1:$1048576,VLOOKUP("EnsEns",[1]data_rep!$A$1:$B$200,2,FALSE),FALSE)</f>
        <v>1.4000000000000001</v>
      </c>
      <c r="C109" s="20">
        <f>HLOOKUP("q15cmod2",[1]data_rep!$1:$1048576,VLOOKUP("EnsEns",[1]data_rep!$A$1:$B$200,2,FALSE),FALSE)</f>
        <v>2.2999999999999998</v>
      </c>
      <c r="D109" s="20">
        <f>HLOOKUP("q15cmod3",[1]data_rep!$1:$1048576,VLOOKUP("EnsEns",[1]data_rep!$A$1:$B$200,2,FALSE),FALSE)</f>
        <v>2.6</v>
      </c>
      <c r="E109" s="20">
        <f>HLOOKUP("q15cmod4",[1]data_rep!$1:$1048576,VLOOKUP("EnsEns",[1]data_rep!$A$1:$B$200,2,FALSE),FALSE)</f>
        <v>6.6000000000000005</v>
      </c>
      <c r="F109" s="66">
        <f>HLOOKUP("q15cmod5",[1]data_rep!$1:$1048576,VLOOKUP("EnsEns",[1]data_rep!$A$1:$B$200,2,FALSE),FALSE)</f>
        <v>34.5</v>
      </c>
      <c r="G109" s="14">
        <f>HLOOKUP("q15cmod6",[1]data_rep!$1:$1048576,VLOOKUP("EnsEns",[1]data_rep!$A$1:$B$200,2,FALSE),FALSE)</f>
        <v>52.6</v>
      </c>
      <c r="I109" s="69"/>
      <c r="J109" s="69"/>
      <c r="K109" s="69"/>
      <c r="L109" s="69"/>
      <c r="M109" s="69"/>
      <c r="N109" s="69"/>
    </row>
    <row r="110" spans="1:14" x14ac:dyDescent="0.25">
      <c r="A110" s="6" t="s">
        <v>51</v>
      </c>
      <c r="B110" s="22">
        <f>HLOOKUP("q15cmod1",[1]data_rep!$1:$1048576,VLOOKUP("EnsDE",[1]data_rep!$A$1:$B$200,2,FALSE),FALSE)</f>
        <v>0</v>
      </c>
      <c r="C110" s="18">
        <f>HLOOKUP("q15cmod2",[1]data_rep!$1:$1048576,VLOOKUP("EnsDE",[1]data_rep!$A$1:$B$200,2,FALSE),FALSE)</f>
        <v>0</v>
      </c>
      <c r="D110" s="18" t="str">
        <f>HLOOKUP("q15cmod3",[1]data_rep!$1:$1048576,VLOOKUP("EnsDE",[1]data_rep!$A$1:$B$200,2,FALSE),FALSE)</f>
        <v>nd</v>
      </c>
      <c r="E110" s="18">
        <f>HLOOKUP("q15cmod4",[1]data_rep!$1:$1048576,VLOOKUP("EnsDE",[1]data_rep!$A$1:$B$200,2,FALSE),FALSE)</f>
        <v>0.4</v>
      </c>
      <c r="F110" s="67">
        <f>HLOOKUP("q15cmod5",[1]data_rep!$1:$1048576,VLOOKUP("EnsDE",[1]data_rep!$A$1:$B$200,2,FALSE),FALSE)</f>
        <v>21.7</v>
      </c>
      <c r="G110" s="13">
        <f>HLOOKUP("q15cmod6",[1]data_rep!$1:$1048576,VLOOKUP("EnsDE",[1]data_rep!$A$1:$B$200,2,FALSE),FALSE)</f>
        <v>77.400000000000006</v>
      </c>
      <c r="I110" s="69"/>
      <c r="J110" s="69"/>
      <c r="K110" s="69"/>
      <c r="L110" s="69"/>
      <c r="M110" s="69"/>
      <c r="N110" s="69"/>
    </row>
    <row r="111" spans="1:14" x14ac:dyDescent="0.25">
      <c r="A111" s="6" t="s">
        <v>16</v>
      </c>
      <c r="B111" s="22" t="str">
        <f>HLOOKUP("q15cmod1",[1]data_rep!$1:$1048576,VLOOKUP("EnsC1",[1]data_rep!$A$1:$B$200,2,FALSE),FALSE)</f>
        <v>nd</v>
      </c>
      <c r="C111" s="18">
        <f>HLOOKUP("q15cmod2",[1]data_rep!$1:$1048576,VLOOKUP("EnsC1",[1]data_rep!$A$1:$B$200,2,FALSE),FALSE)</f>
        <v>1.0999999999999999</v>
      </c>
      <c r="D111" s="18">
        <f>HLOOKUP("q15cmod3",[1]data_rep!$1:$1048576,VLOOKUP("EnsC1",[1]data_rep!$A$1:$B$200,2,FALSE),FALSE)</f>
        <v>1</v>
      </c>
      <c r="E111" s="18">
        <f>HLOOKUP("q15cmod4",[1]data_rep!$1:$1048576,VLOOKUP("EnsC1",[1]data_rep!$A$1:$B$200,2,FALSE),FALSE)</f>
        <v>4.8</v>
      </c>
      <c r="F111" s="67">
        <f>HLOOKUP("q15cmod5",[1]data_rep!$1:$1048576,VLOOKUP("EnsC1",[1]data_rep!$A$1:$B$200,2,FALSE),FALSE)</f>
        <v>38.299999999999997</v>
      </c>
      <c r="G111" s="13">
        <f>HLOOKUP("q15cmod6",[1]data_rep!$1:$1048576,VLOOKUP("EnsC1",[1]data_rep!$A$1:$B$200,2,FALSE),FALSE)</f>
        <v>54.500000000000007</v>
      </c>
      <c r="I111" s="69"/>
      <c r="J111" s="69"/>
      <c r="K111" s="69"/>
      <c r="L111" s="69"/>
      <c r="M111" s="69"/>
      <c r="N111" s="69"/>
    </row>
    <row r="112" spans="1:14" x14ac:dyDescent="0.25">
      <c r="A112" s="6" t="s">
        <v>17</v>
      </c>
      <c r="B112" s="22">
        <f>HLOOKUP("q15cmod1",[1]data_rep!$1:$1048576,VLOOKUP("EnsC2",[1]data_rep!$A$1:$B$200,2,FALSE),FALSE)</f>
        <v>0</v>
      </c>
      <c r="C112" s="18">
        <f>HLOOKUP("q15cmod2",[1]data_rep!$1:$1048576,VLOOKUP("EnsC2",[1]data_rep!$A$1:$B$200,2,FALSE),FALSE)</f>
        <v>0</v>
      </c>
      <c r="D112" s="18">
        <f>HLOOKUP("q15cmod3",[1]data_rep!$1:$1048576,VLOOKUP("EnsC2",[1]data_rep!$A$1:$B$200,2,FALSE),FALSE)</f>
        <v>0</v>
      </c>
      <c r="E112" s="18">
        <f>HLOOKUP("q15cmod4",[1]data_rep!$1:$1048576,VLOOKUP("EnsC2",[1]data_rep!$A$1:$B$200,2,FALSE),FALSE)</f>
        <v>0</v>
      </c>
      <c r="F112" s="67" t="str">
        <f>HLOOKUP("q15cmod5",[1]data_rep!$1:$1048576,VLOOKUP("EnsC2",[1]data_rep!$A$1:$B$200,2,FALSE),FALSE)</f>
        <v>nd</v>
      </c>
      <c r="G112" s="13">
        <f>HLOOKUP("q15cmod6",[1]data_rep!$1:$1048576,VLOOKUP("EnsC2",[1]data_rep!$A$1:$B$200,2,FALSE),FALSE)</f>
        <v>97.399999999999991</v>
      </c>
      <c r="I112" s="69"/>
      <c r="J112" s="69"/>
      <c r="K112" s="69"/>
      <c r="L112" s="69"/>
      <c r="M112" s="69"/>
      <c r="N112" s="69"/>
    </row>
    <row r="113" spans="1:14" x14ac:dyDescent="0.25">
      <c r="A113" s="6" t="s">
        <v>18</v>
      </c>
      <c r="B113" s="22" t="str">
        <f>HLOOKUP("q15cmod1",[1]data_rep!$1:$1048576,VLOOKUP("EnsC3",[1]data_rep!$A$1:$B$200,2,FALSE),FALSE)</f>
        <v>nd</v>
      </c>
      <c r="C113" s="18">
        <f>HLOOKUP("q15cmod2",[1]data_rep!$1:$1048576,VLOOKUP("EnsC3",[1]data_rep!$A$1:$B$200,2,FALSE),FALSE)</f>
        <v>0.70000000000000007</v>
      </c>
      <c r="D113" s="18">
        <f>HLOOKUP("q15cmod3",[1]data_rep!$1:$1048576,VLOOKUP("EnsC3",[1]data_rep!$A$1:$B$200,2,FALSE),FALSE)</f>
        <v>2.2999999999999998</v>
      </c>
      <c r="E113" s="18">
        <f>HLOOKUP("q15cmod4",[1]data_rep!$1:$1048576,VLOOKUP("EnsC3",[1]data_rep!$A$1:$B$200,2,FALSE),FALSE)</f>
        <v>5.4</v>
      </c>
      <c r="F113" s="67">
        <f>HLOOKUP("q15cmod5",[1]data_rep!$1:$1048576,VLOOKUP("EnsC3",[1]data_rep!$A$1:$B$200,2,FALSE),FALSE)</f>
        <v>48.4</v>
      </c>
      <c r="G113" s="13">
        <f>HLOOKUP("q15cmod6",[1]data_rep!$1:$1048576,VLOOKUP("EnsC3",[1]data_rep!$A$1:$B$200,2,FALSE),FALSE)</f>
        <v>43</v>
      </c>
      <c r="I113" s="69"/>
      <c r="J113" s="69"/>
      <c r="K113" s="69"/>
      <c r="L113" s="69"/>
      <c r="M113" s="69"/>
      <c r="N113" s="69"/>
    </row>
    <row r="114" spans="1:14" x14ac:dyDescent="0.25">
      <c r="A114" s="6" t="s">
        <v>19</v>
      </c>
      <c r="B114" s="22">
        <f>HLOOKUP("q15cmod1",[1]data_rep!$1:$1048576,VLOOKUP("EnsC4",[1]data_rep!$A$1:$B$200,2,FALSE),FALSE)</f>
        <v>0.5</v>
      </c>
      <c r="C114" s="18">
        <f>HLOOKUP("q15cmod2",[1]data_rep!$1:$1048576,VLOOKUP("EnsC4",[1]data_rep!$A$1:$B$200,2,FALSE),FALSE)</f>
        <v>1.0999999999999999</v>
      </c>
      <c r="D114" s="18">
        <f>HLOOKUP("q15cmod3",[1]data_rep!$1:$1048576,VLOOKUP("EnsC4",[1]data_rep!$A$1:$B$200,2,FALSE),FALSE)</f>
        <v>2.1</v>
      </c>
      <c r="E114" s="18">
        <f>HLOOKUP("q15cmod4",[1]data_rep!$1:$1048576,VLOOKUP("EnsC4",[1]data_rep!$A$1:$B$200,2,FALSE),FALSE)</f>
        <v>16.5</v>
      </c>
      <c r="F114" s="67">
        <f>HLOOKUP("q15cmod5",[1]data_rep!$1:$1048576,VLOOKUP("EnsC4",[1]data_rep!$A$1:$B$200,2,FALSE),FALSE)</f>
        <v>65.2</v>
      </c>
      <c r="G114" s="13">
        <f>HLOOKUP("q15cmod6",[1]data_rep!$1:$1048576,VLOOKUP("EnsC4",[1]data_rep!$A$1:$B$200,2,FALSE),FALSE)</f>
        <v>14.7</v>
      </c>
      <c r="I114" s="69"/>
      <c r="J114" s="69"/>
      <c r="K114" s="69"/>
      <c r="L114" s="69"/>
      <c r="M114" s="69"/>
      <c r="N114" s="69"/>
    </row>
    <row r="115" spans="1:14" x14ac:dyDescent="0.25">
      <c r="A115" s="6" t="s">
        <v>20</v>
      </c>
      <c r="B115" s="22">
        <f>HLOOKUP("q15cmod1",[1]data_rep!$1:$1048576,VLOOKUP("EnsC5",[1]data_rep!$A$1:$B$200,2,FALSE),FALSE)</f>
        <v>0.8</v>
      </c>
      <c r="C115" s="18">
        <f>HLOOKUP("q15cmod2",[1]data_rep!$1:$1048576,VLOOKUP("EnsC5",[1]data_rep!$A$1:$B$200,2,FALSE),FALSE)</f>
        <v>2.4</v>
      </c>
      <c r="D115" s="18">
        <f>HLOOKUP("q15cmod3",[1]data_rep!$1:$1048576,VLOOKUP("EnsC5",[1]data_rep!$A$1:$B$200,2,FALSE),FALSE)</f>
        <v>2.9000000000000004</v>
      </c>
      <c r="E115" s="18">
        <f>HLOOKUP("q15cmod4",[1]data_rep!$1:$1048576,VLOOKUP("EnsC5",[1]data_rep!$A$1:$B$200,2,FALSE),FALSE)</f>
        <v>7.1999999999999993</v>
      </c>
      <c r="F115" s="67">
        <f>HLOOKUP("q15cmod5",[1]data_rep!$1:$1048576,VLOOKUP("EnsC5",[1]data_rep!$A$1:$B$200,2,FALSE),FALSE)</f>
        <v>38.200000000000003</v>
      </c>
      <c r="G115" s="13">
        <f>HLOOKUP("q15cmod6",[1]data_rep!$1:$1048576,VLOOKUP("EnsC5",[1]data_rep!$A$1:$B$200,2,FALSE),FALSE)</f>
        <v>48.5</v>
      </c>
      <c r="I115" s="69"/>
      <c r="J115" s="69"/>
      <c r="K115" s="69"/>
      <c r="L115" s="69"/>
      <c r="M115" s="69"/>
      <c r="N115" s="69"/>
    </row>
    <row r="116" spans="1:14" x14ac:dyDescent="0.25">
      <c r="A116" s="6" t="s">
        <v>21</v>
      </c>
      <c r="B116" s="22">
        <f>HLOOKUP("q15cmod1",[1]data_rep!$1:$1048576,VLOOKUP("EnsFZ",[1]data_rep!$A$1:$B$200,2,FALSE),FALSE)</f>
        <v>0.6</v>
      </c>
      <c r="C116" s="18" t="str">
        <f>HLOOKUP("q15cmod2",[1]data_rep!$1:$1048576,VLOOKUP("EnsFZ",[1]data_rep!$A$1:$B$200,2,FALSE),FALSE)</f>
        <v>nd</v>
      </c>
      <c r="D116" s="18">
        <f>HLOOKUP("q15cmod3",[1]data_rep!$1:$1048576,VLOOKUP("EnsFZ",[1]data_rep!$A$1:$B$200,2,FALSE),FALSE)</f>
        <v>0.70000000000000007</v>
      </c>
      <c r="E116" s="18">
        <f>HLOOKUP("q15cmod4",[1]data_rep!$1:$1048576,VLOOKUP("EnsFZ",[1]data_rep!$A$1:$B$200,2,FALSE),FALSE)</f>
        <v>3.5000000000000004</v>
      </c>
      <c r="F116" s="67">
        <f>HLOOKUP("q15cmod5",[1]data_rep!$1:$1048576,VLOOKUP("EnsFZ",[1]data_rep!$A$1:$B$200,2,FALSE),FALSE)</f>
        <v>33.4</v>
      </c>
      <c r="G116" s="13">
        <f>HLOOKUP("q15cmod6",[1]data_rep!$1:$1048576,VLOOKUP("EnsFZ",[1]data_rep!$A$1:$B$200,2,FALSE),FALSE)</f>
        <v>61.8</v>
      </c>
      <c r="I116" s="69"/>
      <c r="J116" s="69"/>
      <c r="K116" s="69"/>
      <c r="L116" s="69"/>
      <c r="M116" s="69"/>
      <c r="N116" s="69"/>
    </row>
    <row r="117" spans="1:14" x14ac:dyDescent="0.25">
      <c r="A117" s="6" t="s">
        <v>22</v>
      </c>
      <c r="B117" s="22">
        <f>HLOOKUP("q15cmod1",[1]data_rep!$1:$1048576,VLOOKUP("EnsGZ",[1]data_rep!$A$1:$B$200,2,FALSE),FALSE)</f>
        <v>0.89999999999999991</v>
      </c>
      <c r="C117" s="18">
        <f>HLOOKUP("q15cmod2",[1]data_rep!$1:$1048576,VLOOKUP("EnsGZ",[1]data_rep!$A$1:$B$200,2,FALSE),FALSE)</f>
        <v>1.0999999999999999</v>
      </c>
      <c r="D117" s="18">
        <f>HLOOKUP("q15cmod3",[1]data_rep!$1:$1048576,VLOOKUP("EnsGZ",[1]data_rep!$A$1:$B$200,2,FALSE),FALSE)</f>
        <v>1.6</v>
      </c>
      <c r="E117" s="18">
        <f>HLOOKUP("q15cmod4",[1]data_rep!$1:$1048576,VLOOKUP("EnsGZ",[1]data_rep!$A$1:$B$200,2,FALSE),FALSE)</f>
        <v>6.4</v>
      </c>
      <c r="F117" s="67">
        <f>HLOOKUP("q15cmod5",[1]data_rep!$1:$1048576,VLOOKUP("EnsGZ",[1]data_rep!$A$1:$B$200,2,FALSE),FALSE)</f>
        <v>36.9</v>
      </c>
      <c r="G117" s="13">
        <f>HLOOKUP("q15cmod6",[1]data_rep!$1:$1048576,VLOOKUP("EnsGZ",[1]data_rep!$A$1:$B$200,2,FALSE),FALSE)</f>
        <v>53.1</v>
      </c>
      <c r="I117" s="69"/>
      <c r="J117" s="69"/>
      <c r="K117" s="69"/>
      <c r="L117" s="69"/>
      <c r="M117" s="69"/>
      <c r="N117" s="69"/>
    </row>
    <row r="118" spans="1:14" x14ac:dyDescent="0.25">
      <c r="A118" s="6" t="s">
        <v>23</v>
      </c>
      <c r="B118" s="22">
        <f>HLOOKUP("q15cmod1",[1]data_rep!$1:$1048576,VLOOKUP("EnsHZ",[1]data_rep!$A$1:$B$200,2,FALSE),FALSE)</f>
        <v>1.4000000000000001</v>
      </c>
      <c r="C118" s="18">
        <f>HLOOKUP("q15cmod2",[1]data_rep!$1:$1048576,VLOOKUP("EnsHZ",[1]data_rep!$A$1:$B$200,2,FALSE),FALSE)</f>
        <v>3</v>
      </c>
      <c r="D118" s="18">
        <f>HLOOKUP("q15cmod3",[1]data_rep!$1:$1048576,VLOOKUP("EnsHZ",[1]data_rep!$A$1:$B$200,2,FALSE),FALSE)</f>
        <v>1.7000000000000002</v>
      </c>
      <c r="E118" s="18">
        <f>HLOOKUP("q15cmod4",[1]data_rep!$1:$1048576,VLOOKUP("EnsHZ",[1]data_rep!$A$1:$B$200,2,FALSE),FALSE)</f>
        <v>12.4</v>
      </c>
      <c r="F118" s="67">
        <f>HLOOKUP("q15cmod5",[1]data_rep!$1:$1048576,VLOOKUP("EnsHZ",[1]data_rep!$A$1:$B$200,2,FALSE),FALSE)</f>
        <v>41.6</v>
      </c>
      <c r="G118" s="13">
        <f>HLOOKUP("q15cmod6",[1]data_rep!$1:$1048576,VLOOKUP("EnsHZ",[1]data_rep!$A$1:$B$200,2,FALSE),FALSE)</f>
        <v>39.900000000000006</v>
      </c>
      <c r="I118" s="69"/>
      <c r="J118" s="69"/>
      <c r="K118" s="69"/>
      <c r="L118" s="69"/>
      <c r="M118" s="69"/>
      <c r="N118" s="69"/>
    </row>
    <row r="119" spans="1:14" x14ac:dyDescent="0.25">
      <c r="A119" s="6" t="s">
        <v>24</v>
      </c>
      <c r="B119" s="22">
        <f>HLOOKUP("q15cmod1",[1]data_rep!$1:$1048576,VLOOKUP("EnsIZ",[1]data_rep!$A$1:$B$200,2,FALSE),FALSE)</f>
        <v>11.600000000000001</v>
      </c>
      <c r="C119" s="18">
        <f>HLOOKUP("q15cmod2",[1]data_rep!$1:$1048576,VLOOKUP("EnsIZ",[1]data_rep!$A$1:$B$200,2,FALSE),FALSE)</f>
        <v>18.399999999999999</v>
      </c>
      <c r="D119" s="18">
        <f>HLOOKUP("q15cmod3",[1]data_rep!$1:$1048576,VLOOKUP("EnsIZ",[1]data_rep!$A$1:$B$200,2,FALSE),FALSE)</f>
        <v>11.899999999999999</v>
      </c>
      <c r="E119" s="18">
        <f>HLOOKUP("q15cmod4",[1]data_rep!$1:$1048576,VLOOKUP("EnsIZ",[1]data_rep!$A$1:$B$200,2,FALSE),FALSE)</f>
        <v>7.9</v>
      </c>
      <c r="F119" s="67">
        <f>HLOOKUP("q15cmod5",[1]data_rep!$1:$1048576,VLOOKUP("EnsIZ",[1]data_rep!$A$1:$B$200,2,FALSE),FALSE)</f>
        <v>16.7</v>
      </c>
      <c r="G119" s="13">
        <f>HLOOKUP("q15cmod6",[1]data_rep!$1:$1048576,VLOOKUP("EnsIZ",[1]data_rep!$A$1:$B$200,2,FALSE),FALSE)</f>
        <v>33.4</v>
      </c>
      <c r="I119" s="69"/>
      <c r="J119" s="69"/>
      <c r="K119" s="69"/>
      <c r="L119" s="69"/>
      <c r="M119" s="69"/>
      <c r="N119" s="69"/>
    </row>
    <row r="120" spans="1:14" x14ac:dyDescent="0.25">
      <c r="A120" s="6" t="s">
        <v>25</v>
      </c>
      <c r="B120" s="22">
        <f>HLOOKUP("q15cmod1",[1]data_rep!$1:$1048576,VLOOKUP("EnsJZ",[1]data_rep!$A$1:$B$200,2,FALSE),FALSE)</f>
        <v>0.2</v>
      </c>
      <c r="C120" s="18">
        <f>HLOOKUP("q15cmod2",[1]data_rep!$1:$1048576,VLOOKUP("EnsJZ",[1]data_rep!$A$1:$B$200,2,FALSE),FALSE)</f>
        <v>1.3</v>
      </c>
      <c r="D120" s="18">
        <f>HLOOKUP("q15cmod3",[1]data_rep!$1:$1048576,VLOOKUP("EnsJZ",[1]data_rep!$A$1:$B$200,2,FALSE),FALSE)</f>
        <v>3.3000000000000003</v>
      </c>
      <c r="E120" s="18">
        <f>HLOOKUP("q15cmod4",[1]data_rep!$1:$1048576,VLOOKUP("EnsJZ",[1]data_rep!$A$1:$B$200,2,FALSE),FALSE)</f>
        <v>7.7</v>
      </c>
      <c r="F120" s="67">
        <f>HLOOKUP("q15cmod5",[1]data_rep!$1:$1048576,VLOOKUP("EnsJZ",[1]data_rep!$A$1:$B$200,2,FALSE),FALSE)</f>
        <v>34.799999999999997</v>
      </c>
      <c r="G120" s="13">
        <f>HLOOKUP("q15cmod6",[1]data_rep!$1:$1048576,VLOOKUP("EnsJZ",[1]data_rep!$A$1:$B$200,2,FALSE),FALSE)</f>
        <v>52.900000000000006</v>
      </c>
      <c r="I120" s="69"/>
      <c r="J120" s="69"/>
      <c r="K120" s="69"/>
      <c r="L120" s="69"/>
      <c r="M120" s="69"/>
      <c r="N120" s="69"/>
    </row>
    <row r="121" spans="1:14" x14ac:dyDescent="0.25">
      <c r="A121" s="6" t="s">
        <v>26</v>
      </c>
      <c r="B121" s="22" t="str">
        <f>HLOOKUP("q15cmod1",[1]data_rep!$1:$1048576,VLOOKUP("EnsKZ",[1]data_rep!$A$1:$B$200,2,FALSE),FALSE)</f>
        <v>nd</v>
      </c>
      <c r="C121" s="18">
        <f>HLOOKUP("q15cmod2",[1]data_rep!$1:$1048576,VLOOKUP("EnsKZ",[1]data_rep!$A$1:$B$200,2,FALSE),FALSE)</f>
        <v>0.3</v>
      </c>
      <c r="D121" s="18">
        <f>HLOOKUP("q15cmod3",[1]data_rep!$1:$1048576,VLOOKUP("EnsKZ",[1]data_rep!$A$1:$B$200,2,FALSE),FALSE)</f>
        <v>0.4</v>
      </c>
      <c r="E121" s="18">
        <f>HLOOKUP("q15cmod4",[1]data_rep!$1:$1048576,VLOOKUP("EnsKZ",[1]data_rep!$A$1:$B$200,2,FALSE),FALSE)</f>
        <v>1</v>
      </c>
      <c r="F121" s="67">
        <f>HLOOKUP("q15cmod5",[1]data_rep!$1:$1048576,VLOOKUP("EnsKZ",[1]data_rep!$A$1:$B$200,2,FALSE),FALSE)</f>
        <v>18.7</v>
      </c>
      <c r="G121" s="13">
        <f>HLOOKUP("q15cmod6",[1]data_rep!$1:$1048576,VLOOKUP("EnsKZ",[1]data_rep!$A$1:$B$200,2,FALSE),FALSE)</f>
        <v>79.400000000000006</v>
      </c>
      <c r="I121" s="69"/>
      <c r="J121" s="69"/>
      <c r="K121" s="69"/>
      <c r="L121" s="69"/>
      <c r="M121" s="69"/>
      <c r="N121" s="69"/>
    </row>
    <row r="122" spans="1:14" x14ac:dyDescent="0.25">
      <c r="A122" s="6" t="s">
        <v>27</v>
      </c>
      <c r="B122" s="22">
        <f>HLOOKUP("q15cmod1",[1]data_rep!$1:$1048576,VLOOKUP("EnsLZ",[1]data_rep!$A$1:$B$200,2,FALSE),FALSE)</f>
        <v>0</v>
      </c>
      <c r="C122" s="18" t="str">
        <f>HLOOKUP("q15cmod2",[1]data_rep!$1:$1048576,VLOOKUP("EnsLZ",[1]data_rep!$A$1:$B$200,2,FALSE),FALSE)</f>
        <v>nd</v>
      </c>
      <c r="D122" s="18">
        <f>HLOOKUP("q15cmod3",[1]data_rep!$1:$1048576,VLOOKUP("EnsLZ",[1]data_rep!$A$1:$B$200,2,FALSE),FALSE)</f>
        <v>1.7999999999999998</v>
      </c>
      <c r="E122" s="18">
        <f>HLOOKUP("q15cmod4",[1]data_rep!$1:$1048576,VLOOKUP("EnsLZ",[1]data_rep!$A$1:$B$200,2,FALSE),FALSE)</f>
        <v>2.1</v>
      </c>
      <c r="F122" s="67">
        <f>HLOOKUP("q15cmod5",[1]data_rep!$1:$1048576,VLOOKUP("EnsLZ",[1]data_rep!$A$1:$B$200,2,FALSE),FALSE)</f>
        <v>33.900000000000006</v>
      </c>
      <c r="G122" s="13">
        <f>HLOOKUP("q15cmod6",[1]data_rep!$1:$1048576,VLOOKUP("EnsLZ",[1]data_rep!$A$1:$B$200,2,FALSE),FALSE)</f>
        <v>60.199999999999996</v>
      </c>
      <c r="I122" s="69"/>
      <c r="J122" s="69"/>
      <c r="K122" s="69"/>
      <c r="L122" s="69"/>
      <c r="M122" s="69"/>
      <c r="N122" s="69"/>
    </row>
    <row r="123" spans="1:14" x14ac:dyDescent="0.25">
      <c r="A123" s="6" t="s">
        <v>28</v>
      </c>
      <c r="B123" s="22">
        <f>HLOOKUP("q15cmod1",[1]data_rep!$1:$1048576,VLOOKUP("EnsMN",[1]data_rep!$A$1:$B$200,2,FALSE),FALSE)</f>
        <v>1.3</v>
      </c>
      <c r="C123" s="18">
        <f>HLOOKUP("q15cmod2",[1]data_rep!$1:$1048576,VLOOKUP("EnsMN",[1]data_rep!$A$1:$B$200,2,FALSE),FALSE)</f>
        <v>2.7</v>
      </c>
      <c r="D123" s="18">
        <f>HLOOKUP("q15cmod3",[1]data_rep!$1:$1048576,VLOOKUP("EnsMN",[1]data_rep!$A$1:$B$200,2,FALSE),FALSE)</f>
        <v>4.3</v>
      </c>
      <c r="E123" s="18">
        <f>HLOOKUP("q15cmod4",[1]data_rep!$1:$1048576,VLOOKUP("EnsMN",[1]data_rep!$A$1:$B$200,2,FALSE),FALSE)</f>
        <v>9</v>
      </c>
      <c r="F123" s="67">
        <f>HLOOKUP("q15cmod5",[1]data_rep!$1:$1048576,VLOOKUP("EnsMN",[1]data_rep!$A$1:$B$200,2,FALSE),FALSE)</f>
        <v>34</v>
      </c>
      <c r="G123" s="13">
        <f>HLOOKUP("q15cmod6",[1]data_rep!$1:$1048576,VLOOKUP("EnsMN",[1]data_rep!$A$1:$B$200,2,FALSE),FALSE)</f>
        <v>48.699999999999996</v>
      </c>
      <c r="I123" s="69"/>
      <c r="J123" s="69"/>
      <c r="K123" s="69"/>
      <c r="L123" s="69"/>
      <c r="M123" s="69"/>
      <c r="N123" s="69"/>
    </row>
    <row r="124" spans="1:14" x14ac:dyDescent="0.25">
      <c r="A124" s="6" t="s">
        <v>29</v>
      </c>
      <c r="B124" s="22">
        <f>HLOOKUP("q15cmod1",[1]data_rep!$1:$1048576,VLOOKUP("EnsOQ",[1]data_rep!$A$1:$B$200,2,FALSE),FALSE)</f>
        <v>0.4</v>
      </c>
      <c r="C124" s="18">
        <f>HLOOKUP("q15cmod2",[1]data_rep!$1:$1048576,VLOOKUP("EnsOQ",[1]data_rep!$A$1:$B$200,2,FALSE),FALSE)</f>
        <v>0.3</v>
      </c>
      <c r="D124" s="18">
        <f>HLOOKUP("q15cmod3",[1]data_rep!$1:$1048576,VLOOKUP("EnsOQ",[1]data_rep!$A$1:$B$200,2,FALSE),FALSE)</f>
        <v>0.8</v>
      </c>
      <c r="E124" s="18">
        <f>HLOOKUP("q15cmod4",[1]data_rep!$1:$1048576,VLOOKUP("EnsOQ",[1]data_rep!$A$1:$B$200,2,FALSE),FALSE)</f>
        <v>3.9</v>
      </c>
      <c r="F124" s="67">
        <f>HLOOKUP("q15cmod5",[1]data_rep!$1:$1048576,VLOOKUP("EnsOQ",[1]data_rep!$A$1:$B$200,2,FALSE),FALSE)</f>
        <v>34.699999999999996</v>
      </c>
      <c r="G124" s="13">
        <f>HLOOKUP("q15cmod6",[1]data_rep!$1:$1048576,VLOOKUP("EnsOQ",[1]data_rep!$A$1:$B$200,2,FALSE),FALSE)</f>
        <v>60</v>
      </c>
      <c r="I124" s="69"/>
      <c r="J124" s="69"/>
      <c r="K124" s="69"/>
      <c r="L124" s="69"/>
      <c r="M124" s="69"/>
      <c r="N124" s="69"/>
    </row>
    <row r="125" spans="1:14" x14ac:dyDescent="0.25">
      <c r="A125" s="7" t="s">
        <v>30</v>
      </c>
      <c r="B125" s="23">
        <f>HLOOKUP("q15cmod1",[1]data_rep!$1:$1048576,VLOOKUP("EnsRU",[1]data_rep!$A$1:$B$200,2,FALSE),FALSE)</f>
        <v>6.2</v>
      </c>
      <c r="C125" s="20">
        <f>HLOOKUP("q15cmod2",[1]data_rep!$1:$1048576,VLOOKUP("EnsRU",[1]data_rep!$A$1:$B$200,2,FALSE),FALSE)</f>
        <v>4.3</v>
      </c>
      <c r="D125" s="20">
        <f>HLOOKUP("q15cmod3",[1]data_rep!$1:$1048576,VLOOKUP("EnsRU",[1]data_rep!$A$1:$B$200,2,FALSE),FALSE)</f>
        <v>6.5</v>
      </c>
      <c r="E125" s="20">
        <f>HLOOKUP("q15cmod4",[1]data_rep!$1:$1048576,VLOOKUP("EnsRU",[1]data_rep!$A$1:$B$200,2,FALSE),FALSE)</f>
        <v>7.3</v>
      </c>
      <c r="F125" s="66">
        <f>HLOOKUP("q15cmod5",[1]data_rep!$1:$1048576,VLOOKUP("EnsRU",[1]data_rep!$A$1:$B$200,2,FALSE),FALSE)</f>
        <v>23.599999999999998</v>
      </c>
      <c r="G125" s="14">
        <f>HLOOKUP("q15cmod6",[1]data_rep!$1:$1048576,VLOOKUP("EnsRU",[1]data_rep!$A$1:$B$200,2,FALSE),FALSE)</f>
        <v>52.1</v>
      </c>
      <c r="I125" s="69"/>
      <c r="J125" s="69"/>
      <c r="K125" s="69"/>
      <c r="L125" s="69"/>
      <c r="M125" s="69"/>
      <c r="N125" s="69"/>
    </row>
    <row r="126" spans="1:14" x14ac:dyDescent="0.25">
      <c r="A126" s="8" t="s">
        <v>110</v>
      </c>
    </row>
    <row r="127" spans="1:14" x14ac:dyDescent="0.25">
      <c r="A127" s="8" t="s">
        <v>7</v>
      </c>
    </row>
    <row r="128" spans="1:14" x14ac:dyDescent="0.25">
      <c r="A128" s="63"/>
    </row>
    <row r="129" spans="1:1" x14ac:dyDescent="0.25">
      <c r="A129" s="63"/>
    </row>
    <row r="130" spans="1:1" x14ac:dyDescent="0.25">
      <c r="A130" s="63"/>
    </row>
    <row r="131" spans="1:1" x14ac:dyDescent="0.25">
      <c r="A131" s="63"/>
    </row>
    <row r="132" spans="1:1" x14ac:dyDescent="0.25">
      <c r="A132" s="63"/>
    </row>
    <row r="133" spans="1:1" x14ac:dyDescent="0.25">
      <c r="A133" s="63"/>
    </row>
    <row r="134" spans="1:1" x14ac:dyDescent="0.25">
      <c r="A134" s="63"/>
    </row>
    <row r="135" spans="1:1" x14ac:dyDescent="0.25">
      <c r="A135" s="63"/>
    </row>
    <row r="136" spans="1:1" x14ac:dyDescent="0.25">
      <c r="A136" s="63"/>
    </row>
    <row r="137" spans="1:1" x14ac:dyDescent="0.25">
      <c r="A137" s="63"/>
    </row>
    <row r="138" spans="1:1" x14ac:dyDescent="0.25">
      <c r="A138" s="63"/>
    </row>
    <row r="139" spans="1:1" x14ac:dyDescent="0.25">
      <c r="A139" s="63"/>
    </row>
    <row r="140" spans="1:1" x14ac:dyDescent="0.25">
      <c r="A140" s="63"/>
    </row>
    <row r="141" spans="1:1" x14ac:dyDescent="0.25">
      <c r="A141" s="63"/>
    </row>
    <row r="142" spans="1:1" x14ac:dyDescent="0.25">
      <c r="A142" s="63"/>
    </row>
    <row r="143" spans="1:1" x14ac:dyDescent="0.25">
      <c r="A143" s="63"/>
    </row>
    <row r="144" spans="1:1" x14ac:dyDescent="0.25">
      <c r="A144" s="63"/>
    </row>
    <row r="145" spans="1:1" x14ac:dyDescent="0.25">
      <c r="A145" s="63"/>
    </row>
    <row r="146" spans="1:1" x14ac:dyDescent="0.25">
      <c r="A146" s="63"/>
    </row>
    <row r="147" spans="1:1" x14ac:dyDescent="0.25">
      <c r="A147" s="63"/>
    </row>
    <row r="148" spans="1:1" x14ac:dyDescent="0.25">
      <c r="A148" s="63"/>
    </row>
    <row r="149" spans="1:1" x14ac:dyDescent="0.25">
      <c r="A149" s="63"/>
    </row>
    <row r="150" spans="1:1" x14ac:dyDescent="0.25">
      <c r="A150" s="63"/>
    </row>
    <row r="151" spans="1:1" x14ac:dyDescent="0.25">
      <c r="A151" s="63"/>
    </row>
    <row r="152" spans="1:1" x14ac:dyDescent="0.25">
      <c r="A152" s="63"/>
    </row>
    <row r="153" spans="1:1" x14ac:dyDescent="0.25">
      <c r="A153" s="63"/>
    </row>
    <row r="154" spans="1:1" x14ac:dyDescent="0.25">
      <c r="A154" s="63"/>
    </row>
    <row r="155" spans="1:1" x14ac:dyDescent="0.25">
      <c r="A155" s="63"/>
    </row>
    <row r="156" spans="1:1" x14ac:dyDescent="0.25">
      <c r="A156" s="63"/>
    </row>
    <row r="157" spans="1:1" x14ac:dyDescent="0.25">
      <c r="A157" s="63"/>
    </row>
    <row r="160" spans="1:1" x14ac:dyDescent="0.25">
      <c r="A160" s="3" t="s">
        <v>177</v>
      </c>
    </row>
    <row r="161" spans="1:14" ht="105.75" customHeight="1" x14ac:dyDescent="0.25">
      <c r="B161" s="51" t="s">
        <v>66</v>
      </c>
      <c r="C161" s="47" t="s">
        <v>67</v>
      </c>
      <c r="D161" s="47" t="s">
        <v>70</v>
      </c>
      <c r="E161" s="47" t="s">
        <v>71</v>
      </c>
      <c r="F161" s="47" t="s">
        <v>68</v>
      </c>
      <c r="G161" s="50" t="s">
        <v>69</v>
      </c>
    </row>
    <row r="162" spans="1:14" x14ac:dyDescent="0.25">
      <c r="A162" s="42" t="s">
        <v>0</v>
      </c>
      <c r="B162" s="23">
        <v>0</v>
      </c>
      <c r="C162" s="20">
        <v>0</v>
      </c>
      <c r="D162" s="20">
        <v>0.4</v>
      </c>
      <c r="E162" s="20">
        <v>8.7999999999999989</v>
      </c>
      <c r="F162" s="66">
        <v>70.599999999999994</v>
      </c>
      <c r="G162" s="14">
        <v>20.200000000000003</v>
      </c>
      <c r="I162" s="69"/>
      <c r="J162" s="69"/>
      <c r="K162" s="69"/>
      <c r="L162" s="69"/>
      <c r="M162" s="69"/>
      <c r="N162" s="69"/>
    </row>
    <row r="163" spans="1:14" x14ac:dyDescent="0.25">
      <c r="A163" s="6" t="s">
        <v>51</v>
      </c>
      <c r="B163" s="22">
        <v>0</v>
      </c>
      <c r="C163" s="18">
        <v>0</v>
      </c>
      <c r="D163" s="18">
        <v>0</v>
      </c>
      <c r="E163" s="18">
        <v>1.9</v>
      </c>
      <c r="F163" s="67">
        <v>89.7</v>
      </c>
      <c r="G163" s="13">
        <v>8.4</v>
      </c>
      <c r="I163" s="69"/>
      <c r="J163" s="69"/>
      <c r="K163" s="69"/>
      <c r="L163" s="69"/>
      <c r="M163" s="69"/>
      <c r="N163" s="69"/>
    </row>
    <row r="164" spans="1:14" x14ac:dyDescent="0.25">
      <c r="A164" s="6" t="s">
        <v>16</v>
      </c>
      <c r="B164" s="22">
        <v>0</v>
      </c>
      <c r="C164" s="18" t="s">
        <v>92</v>
      </c>
      <c r="D164" s="18" t="s">
        <v>92</v>
      </c>
      <c r="E164" s="18">
        <v>9.9</v>
      </c>
      <c r="F164" s="67">
        <v>73.3</v>
      </c>
      <c r="G164" s="13">
        <v>15.299999999999999</v>
      </c>
      <c r="I164" s="69"/>
      <c r="J164" s="69"/>
      <c r="K164" s="69"/>
      <c r="L164" s="69"/>
      <c r="M164" s="69"/>
      <c r="N164" s="69"/>
    </row>
    <row r="165" spans="1:14" x14ac:dyDescent="0.25">
      <c r="A165" s="6" t="s">
        <v>17</v>
      </c>
      <c r="B165" s="22">
        <v>0</v>
      </c>
      <c r="C165" s="18">
        <v>0</v>
      </c>
      <c r="D165" s="18">
        <v>0</v>
      </c>
      <c r="E165" s="18" t="s">
        <v>92</v>
      </c>
      <c r="F165" s="67">
        <v>74.900000000000006</v>
      </c>
      <c r="G165" s="13" t="s">
        <v>92</v>
      </c>
      <c r="I165" s="69"/>
      <c r="J165" s="69"/>
      <c r="K165" s="69"/>
      <c r="L165" s="69"/>
      <c r="M165" s="69"/>
      <c r="N165" s="69"/>
    </row>
    <row r="166" spans="1:14" x14ac:dyDescent="0.25">
      <c r="A166" s="6" t="s">
        <v>18</v>
      </c>
      <c r="B166" s="22">
        <v>0</v>
      </c>
      <c r="C166" s="18">
        <v>0</v>
      </c>
      <c r="D166" s="18" t="s">
        <v>92</v>
      </c>
      <c r="E166" s="18" t="s">
        <v>92</v>
      </c>
      <c r="F166" s="67">
        <v>86.3</v>
      </c>
      <c r="G166" s="13">
        <v>7.5</v>
      </c>
      <c r="I166" s="69"/>
      <c r="J166" s="69"/>
      <c r="K166" s="69"/>
      <c r="L166" s="69"/>
      <c r="M166" s="69"/>
      <c r="N166" s="69"/>
    </row>
    <row r="167" spans="1:14" x14ac:dyDescent="0.25">
      <c r="A167" s="6" t="s">
        <v>19</v>
      </c>
      <c r="B167" s="22">
        <v>0</v>
      </c>
      <c r="C167" s="18">
        <v>0</v>
      </c>
      <c r="D167" s="18" t="s">
        <v>92</v>
      </c>
      <c r="E167" s="18">
        <v>4.7</v>
      </c>
      <c r="F167" s="67">
        <v>92.100000000000009</v>
      </c>
      <c r="G167" s="13">
        <v>2.9000000000000004</v>
      </c>
      <c r="I167" s="69"/>
      <c r="J167" s="69"/>
      <c r="K167" s="69"/>
      <c r="L167" s="69"/>
      <c r="M167" s="69"/>
      <c r="N167" s="69"/>
    </row>
    <row r="168" spans="1:14" x14ac:dyDescent="0.25">
      <c r="A168" s="6" t="s">
        <v>20</v>
      </c>
      <c r="B168" s="22" t="s">
        <v>92</v>
      </c>
      <c r="C168" s="18" t="s">
        <v>92</v>
      </c>
      <c r="D168" s="18">
        <v>0.5</v>
      </c>
      <c r="E168" s="18">
        <v>8.4</v>
      </c>
      <c r="F168" s="67">
        <v>76.5</v>
      </c>
      <c r="G168" s="13">
        <v>14.299999999999999</v>
      </c>
      <c r="I168" s="69"/>
      <c r="J168" s="69"/>
      <c r="K168" s="69"/>
      <c r="L168" s="69"/>
      <c r="M168" s="69"/>
      <c r="N168" s="69"/>
    </row>
    <row r="169" spans="1:14" x14ac:dyDescent="0.25">
      <c r="A169" s="6" t="s">
        <v>21</v>
      </c>
      <c r="B169" s="22" t="s">
        <v>92</v>
      </c>
      <c r="C169" s="18">
        <v>0</v>
      </c>
      <c r="D169" s="18" t="s">
        <v>92</v>
      </c>
      <c r="E169" s="18">
        <v>3</v>
      </c>
      <c r="F169" s="67">
        <v>66.7</v>
      </c>
      <c r="G169" s="13">
        <v>29.9</v>
      </c>
      <c r="I169" s="69"/>
      <c r="J169" s="69"/>
      <c r="K169" s="69"/>
      <c r="L169" s="69"/>
      <c r="M169" s="69"/>
      <c r="N169" s="69"/>
    </row>
    <row r="170" spans="1:14" x14ac:dyDescent="0.25">
      <c r="A170" s="6" t="s">
        <v>22</v>
      </c>
      <c r="B170" s="22">
        <v>0</v>
      </c>
      <c r="C170" s="18" t="s">
        <v>92</v>
      </c>
      <c r="D170" s="18">
        <v>0.3</v>
      </c>
      <c r="E170" s="18">
        <v>8.6</v>
      </c>
      <c r="F170" s="67">
        <v>71.7</v>
      </c>
      <c r="G170" s="13">
        <v>19.400000000000002</v>
      </c>
      <c r="I170" s="69"/>
      <c r="J170" s="69"/>
      <c r="K170" s="69"/>
      <c r="L170" s="69"/>
      <c r="M170" s="69"/>
      <c r="N170" s="69"/>
    </row>
    <row r="171" spans="1:14" x14ac:dyDescent="0.25">
      <c r="A171" s="6" t="s">
        <v>23</v>
      </c>
      <c r="B171" s="22" t="s">
        <v>92</v>
      </c>
      <c r="C171" s="18">
        <v>0</v>
      </c>
      <c r="D171" s="18" t="s">
        <v>92</v>
      </c>
      <c r="E171" s="18">
        <v>6.6000000000000005</v>
      </c>
      <c r="F171" s="67">
        <v>79.7</v>
      </c>
      <c r="G171" s="13">
        <v>13.600000000000001</v>
      </c>
      <c r="I171" s="69"/>
      <c r="J171" s="69"/>
      <c r="K171" s="69"/>
      <c r="L171" s="69"/>
      <c r="M171" s="69"/>
      <c r="N171" s="69"/>
    </row>
    <row r="172" spans="1:14" x14ac:dyDescent="0.25">
      <c r="A172" s="6" t="s">
        <v>24</v>
      </c>
      <c r="B172" s="22">
        <v>0</v>
      </c>
      <c r="C172" s="18">
        <v>0</v>
      </c>
      <c r="D172" s="18">
        <v>0</v>
      </c>
      <c r="E172" s="18">
        <v>8</v>
      </c>
      <c r="F172" s="67">
        <v>56.399999999999991</v>
      </c>
      <c r="G172" s="13">
        <v>35.699999999999996</v>
      </c>
      <c r="I172" s="69"/>
      <c r="J172" s="69"/>
      <c r="K172" s="69"/>
      <c r="L172" s="69"/>
      <c r="M172" s="69"/>
      <c r="N172" s="69"/>
    </row>
    <row r="173" spans="1:14" x14ac:dyDescent="0.25">
      <c r="A173" s="6" t="s">
        <v>25</v>
      </c>
      <c r="B173" s="22">
        <v>0</v>
      </c>
      <c r="C173" s="18">
        <v>0</v>
      </c>
      <c r="D173" s="18">
        <v>0</v>
      </c>
      <c r="E173" s="18">
        <v>8.7999999999999989</v>
      </c>
      <c r="F173" s="67">
        <v>70.099999999999994</v>
      </c>
      <c r="G173" s="13">
        <v>21.099999999999998</v>
      </c>
      <c r="I173" s="69"/>
      <c r="J173" s="69"/>
      <c r="K173" s="69"/>
      <c r="L173" s="69"/>
      <c r="M173" s="69"/>
      <c r="N173" s="69"/>
    </row>
    <row r="174" spans="1:14" x14ac:dyDescent="0.25">
      <c r="A174" s="6" t="s">
        <v>26</v>
      </c>
      <c r="B174" s="22">
        <v>0</v>
      </c>
      <c r="C174" s="18">
        <v>0</v>
      </c>
      <c r="D174" s="18">
        <v>0</v>
      </c>
      <c r="E174" s="18">
        <v>10.9</v>
      </c>
      <c r="F174" s="67">
        <v>79.5</v>
      </c>
      <c r="G174" s="13">
        <v>9.6</v>
      </c>
      <c r="I174" s="69"/>
      <c r="J174" s="69"/>
      <c r="K174" s="69"/>
      <c r="L174" s="69"/>
      <c r="M174" s="69"/>
      <c r="N174" s="69"/>
    </row>
    <row r="175" spans="1:14" x14ac:dyDescent="0.25">
      <c r="A175" s="6" t="s">
        <v>27</v>
      </c>
      <c r="B175" s="22">
        <v>0</v>
      </c>
      <c r="C175" s="18">
        <v>0</v>
      </c>
      <c r="D175" s="18">
        <v>0</v>
      </c>
      <c r="E175" s="18">
        <v>4.9000000000000004</v>
      </c>
      <c r="F175" s="67">
        <v>73.5</v>
      </c>
      <c r="G175" s="13">
        <v>21.5</v>
      </c>
      <c r="I175" s="69"/>
      <c r="J175" s="69"/>
      <c r="K175" s="69"/>
      <c r="L175" s="69"/>
      <c r="M175" s="69"/>
      <c r="N175" s="69"/>
    </row>
    <row r="176" spans="1:14" x14ac:dyDescent="0.25">
      <c r="A176" s="6" t="s">
        <v>28</v>
      </c>
      <c r="B176" s="22">
        <v>0</v>
      </c>
      <c r="C176" s="18">
        <v>0</v>
      </c>
      <c r="D176" s="18">
        <v>0.5</v>
      </c>
      <c r="E176" s="18">
        <v>5.7</v>
      </c>
      <c r="F176" s="67">
        <v>66.3</v>
      </c>
      <c r="G176" s="13">
        <v>27.500000000000004</v>
      </c>
      <c r="I176" s="69"/>
      <c r="J176" s="69"/>
      <c r="K176" s="69"/>
      <c r="L176" s="69"/>
      <c r="M176" s="69"/>
      <c r="N176" s="69"/>
    </row>
    <row r="177" spans="1:14" x14ac:dyDescent="0.25">
      <c r="A177" s="6" t="s">
        <v>29</v>
      </c>
      <c r="B177" s="22" t="s">
        <v>92</v>
      </c>
      <c r="C177" s="18" t="s">
        <v>92</v>
      </c>
      <c r="D177" s="18">
        <v>1</v>
      </c>
      <c r="E177" s="18">
        <v>18</v>
      </c>
      <c r="F177" s="67">
        <v>62.8</v>
      </c>
      <c r="G177" s="13">
        <v>18.2</v>
      </c>
      <c r="I177" s="69"/>
      <c r="J177" s="69"/>
      <c r="K177" s="69"/>
      <c r="L177" s="69"/>
      <c r="M177" s="69"/>
      <c r="N177" s="69"/>
    </row>
    <row r="178" spans="1:14" x14ac:dyDescent="0.25">
      <c r="A178" s="7" t="s">
        <v>30</v>
      </c>
      <c r="B178" s="23">
        <v>0</v>
      </c>
      <c r="C178" s="20">
        <v>0</v>
      </c>
      <c r="D178" s="20" t="s">
        <v>92</v>
      </c>
      <c r="E178" s="20" t="s">
        <v>92</v>
      </c>
      <c r="F178" s="66">
        <v>54.2</v>
      </c>
      <c r="G178" s="14">
        <v>40.300000000000004</v>
      </c>
      <c r="I178" s="69"/>
      <c r="J178" s="69"/>
      <c r="K178" s="69"/>
      <c r="L178" s="69"/>
      <c r="M178" s="69"/>
      <c r="N178" s="69"/>
    </row>
    <row r="179" spans="1:14" x14ac:dyDescent="0.25">
      <c r="A179" s="8" t="s">
        <v>116</v>
      </c>
    </row>
    <row r="180" spans="1:14" x14ac:dyDescent="0.25">
      <c r="A180" s="8" t="s">
        <v>7</v>
      </c>
    </row>
    <row r="181" spans="1:14" x14ac:dyDescent="0.25">
      <c r="A181" s="63"/>
    </row>
    <row r="182" spans="1:14" x14ac:dyDescent="0.25">
      <c r="A182" s="63"/>
    </row>
    <row r="183" spans="1:14" x14ac:dyDescent="0.25">
      <c r="A183" s="63"/>
    </row>
    <row r="184" spans="1:14" x14ac:dyDescent="0.25">
      <c r="A184" s="63"/>
    </row>
    <row r="185" spans="1:14" x14ac:dyDescent="0.25">
      <c r="A185" s="63"/>
    </row>
    <row r="186" spans="1:14" x14ac:dyDescent="0.25">
      <c r="A186" s="63"/>
    </row>
    <row r="187" spans="1:14" x14ac:dyDescent="0.25">
      <c r="A187" s="63"/>
    </row>
    <row r="188" spans="1:14" x14ac:dyDescent="0.25">
      <c r="A188" s="63"/>
    </row>
    <row r="189" spans="1:14" x14ac:dyDescent="0.25">
      <c r="A189" s="63"/>
    </row>
    <row r="190" spans="1:14" x14ac:dyDescent="0.25">
      <c r="A190" s="63"/>
    </row>
    <row r="191" spans="1:14" x14ac:dyDescent="0.25">
      <c r="A191" s="63"/>
    </row>
    <row r="192" spans="1:14" x14ac:dyDescent="0.25">
      <c r="A192" s="63"/>
    </row>
    <row r="193" spans="1:1" x14ac:dyDescent="0.25">
      <c r="A193" s="63"/>
    </row>
    <row r="194" spans="1:1" x14ac:dyDescent="0.25">
      <c r="A194" s="63"/>
    </row>
    <row r="195" spans="1:1" x14ac:dyDescent="0.25">
      <c r="A195" s="63"/>
    </row>
    <row r="196" spans="1:1" x14ac:dyDescent="0.25">
      <c r="A196" s="63"/>
    </row>
    <row r="197" spans="1:1" x14ac:dyDescent="0.25">
      <c r="A197" s="63"/>
    </row>
    <row r="198" spans="1:1" x14ac:dyDescent="0.25">
      <c r="A198" s="63"/>
    </row>
    <row r="199" spans="1:1" x14ac:dyDescent="0.25">
      <c r="A199" s="63"/>
    </row>
    <row r="200" spans="1:1" x14ac:dyDescent="0.25">
      <c r="A200" s="63"/>
    </row>
    <row r="201" spans="1:1" x14ac:dyDescent="0.25">
      <c r="A201" s="63"/>
    </row>
    <row r="202" spans="1:1" x14ac:dyDescent="0.25">
      <c r="A202" s="63"/>
    </row>
    <row r="203" spans="1:1" x14ac:dyDescent="0.25">
      <c r="A203" s="63"/>
    </row>
    <row r="204" spans="1:1" x14ac:dyDescent="0.25">
      <c r="A204" s="63"/>
    </row>
    <row r="205" spans="1:1" x14ac:dyDescent="0.25">
      <c r="A205" s="63"/>
    </row>
    <row r="206" spans="1:1" x14ac:dyDescent="0.25">
      <c r="A206" s="63"/>
    </row>
    <row r="207" spans="1:1" x14ac:dyDescent="0.25">
      <c r="A207" s="63"/>
    </row>
    <row r="208" spans="1:1" x14ac:dyDescent="0.25">
      <c r="A208" s="63"/>
    </row>
    <row r="209" spans="1:14" x14ac:dyDescent="0.25">
      <c r="A209" s="63"/>
    </row>
    <row r="210" spans="1:14" x14ac:dyDescent="0.25">
      <c r="A210" s="63"/>
    </row>
    <row r="213" spans="1:14" x14ac:dyDescent="0.25">
      <c r="A213" s="3" t="s">
        <v>178</v>
      </c>
    </row>
    <row r="214" spans="1:14" ht="105.75" customHeight="1" x14ac:dyDescent="0.25">
      <c r="B214" s="51" t="s">
        <v>66</v>
      </c>
      <c r="C214" s="47" t="s">
        <v>67</v>
      </c>
      <c r="D214" s="47" t="s">
        <v>70</v>
      </c>
      <c r="E214" s="47" t="s">
        <v>71</v>
      </c>
      <c r="F214" s="47" t="s">
        <v>68</v>
      </c>
      <c r="G214" s="50" t="s">
        <v>69</v>
      </c>
    </row>
    <row r="215" spans="1:14" x14ac:dyDescent="0.25">
      <c r="A215" s="42" t="s">
        <v>0</v>
      </c>
      <c r="B215" s="23">
        <v>0.2</v>
      </c>
      <c r="C215" s="20">
        <v>0.2</v>
      </c>
      <c r="D215" s="20">
        <v>1.4000000000000001</v>
      </c>
      <c r="E215" s="20">
        <v>12.8</v>
      </c>
      <c r="F215" s="66">
        <v>61.6</v>
      </c>
      <c r="G215" s="14">
        <v>23.799999999999997</v>
      </c>
      <c r="I215" s="69"/>
      <c r="J215" s="69"/>
      <c r="K215" s="69"/>
      <c r="L215" s="69"/>
      <c r="M215" s="69"/>
      <c r="N215" s="69"/>
    </row>
    <row r="216" spans="1:14" x14ac:dyDescent="0.25">
      <c r="A216" s="6" t="s">
        <v>51</v>
      </c>
      <c r="B216" s="22" t="s">
        <v>92</v>
      </c>
      <c r="C216" s="18" t="s">
        <v>92</v>
      </c>
      <c r="D216" s="18">
        <v>0.4</v>
      </c>
      <c r="E216" s="18">
        <v>5.3</v>
      </c>
      <c r="F216" s="67">
        <v>83.6</v>
      </c>
      <c r="G216" s="13">
        <v>10.299999999999999</v>
      </c>
      <c r="I216" s="69"/>
      <c r="J216" s="69"/>
      <c r="K216" s="69"/>
      <c r="L216" s="69"/>
      <c r="M216" s="69"/>
      <c r="N216" s="69"/>
    </row>
    <row r="217" spans="1:14" x14ac:dyDescent="0.25">
      <c r="A217" s="6" t="s">
        <v>16</v>
      </c>
      <c r="B217" s="22" t="s">
        <v>92</v>
      </c>
      <c r="C217" s="18">
        <v>0</v>
      </c>
      <c r="D217" s="18">
        <v>1.6</v>
      </c>
      <c r="E217" s="18">
        <v>12.6</v>
      </c>
      <c r="F217" s="67">
        <v>71</v>
      </c>
      <c r="G217" s="13">
        <v>14.499999999999998</v>
      </c>
      <c r="I217" s="69"/>
      <c r="J217" s="69"/>
      <c r="K217" s="69"/>
      <c r="L217" s="69"/>
      <c r="M217" s="69"/>
      <c r="N217" s="69"/>
    </row>
    <row r="218" spans="1:14" x14ac:dyDescent="0.25">
      <c r="A218" s="6" t="s">
        <v>17</v>
      </c>
      <c r="B218" s="22">
        <v>0</v>
      </c>
      <c r="C218" s="18">
        <v>0</v>
      </c>
      <c r="D218" s="18">
        <v>0</v>
      </c>
      <c r="E218" s="18" t="s">
        <v>92</v>
      </c>
      <c r="F218" s="67">
        <v>85.5</v>
      </c>
      <c r="G218" s="13" t="s">
        <v>92</v>
      </c>
      <c r="I218" s="69"/>
      <c r="J218" s="69"/>
      <c r="K218" s="69"/>
      <c r="L218" s="69"/>
      <c r="M218" s="69"/>
      <c r="N218" s="69"/>
    </row>
    <row r="219" spans="1:14" x14ac:dyDescent="0.25">
      <c r="A219" s="6" t="s">
        <v>18</v>
      </c>
      <c r="B219" s="22">
        <v>0</v>
      </c>
      <c r="C219" s="18" t="s">
        <v>92</v>
      </c>
      <c r="D219" s="18" t="s">
        <v>92</v>
      </c>
      <c r="E219" s="18">
        <v>9.1999999999999993</v>
      </c>
      <c r="F219" s="67">
        <v>72.899999999999991</v>
      </c>
      <c r="G219" s="13">
        <v>17.5</v>
      </c>
      <c r="I219" s="69"/>
      <c r="J219" s="69"/>
      <c r="K219" s="69"/>
      <c r="L219" s="69"/>
      <c r="M219" s="69"/>
      <c r="N219" s="69"/>
    </row>
    <row r="220" spans="1:14" x14ac:dyDescent="0.25">
      <c r="A220" s="6" t="s">
        <v>19</v>
      </c>
      <c r="B220" s="22">
        <v>0</v>
      </c>
      <c r="C220" s="18" t="s">
        <v>92</v>
      </c>
      <c r="D220" s="18">
        <v>0</v>
      </c>
      <c r="E220" s="18" t="s">
        <v>92</v>
      </c>
      <c r="F220" s="67">
        <v>83.899999999999991</v>
      </c>
      <c r="G220" s="13">
        <v>7.1999999999999993</v>
      </c>
      <c r="I220" s="69"/>
      <c r="J220" s="69"/>
      <c r="K220" s="69"/>
      <c r="L220" s="69"/>
      <c r="M220" s="69"/>
      <c r="N220" s="69"/>
    </row>
    <row r="221" spans="1:14" x14ac:dyDescent="0.25">
      <c r="A221" s="6" t="s">
        <v>20</v>
      </c>
      <c r="B221" s="22" t="s">
        <v>92</v>
      </c>
      <c r="C221" s="18" t="s">
        <v>92</v>
      </c>
      <c r="D221" s="18">
        <v>0.89999999999999991</v>
      </c>
      <c r="E221" s="18">
        <v>10.9</v>
      </c>
      <c r="F221" s="67">
        <v>60.099999999999994</v>
      </c>
      <c r="G221" s="13">
        <v>28.000000000000004</v>
      </c>
      <c r="I221" s="69"/>
      <c r="J221" s="69"/>
      <c r="K221" s="69"/>
      <c r="L221" s="69"/>
      <c r="M221" s="69"/>
      <c r="N221" s="69"/>
    </row>
    <row r="222" spans="1:14" x14ac:dyDescent="0.25">
      <c r="A222" s="6" t="s">
        <v>21</v>
      </c>
      <c r="B222" s="22">
        <v>0</v>
      </c>
      <c r="C222" s="18" t="s">
        <v>92</v>
      </c>
      <c r="D222" s="18" t="s">
        <v>92</v>
      </c>
      <c r="E222" s="18">
        <v>1.9</v>
      </c>
      <c r="F222" s="67">
        <v>44.1</v>
      </c>
      <c r="G222" s="13">
        <v>53.400000000000006</v>
      </c>
      <c r="I222" s="69"/>
      <c r="J222" s="69"/>
      <c r="K222" s="69"/>
      <c r="L222" s="69"/>
      <c r="M222" s="69"/>
      <c r="N222" s="69"/>
    </row>
    <row r="223" spans="1:14" x14ac:dyDescent="0.25">
      <c r="A223" s="6" t="s">
        <v>22</v>
      </c>
      <c r="B223" s="22" t="s">
        <v>92</v>
      </c>
      <c r="C223" s="18" t="s">
        <v>92</v>
      </c>
      <c r="D223" s="18">
        <v>1.0999999999999999</v>
      </c>
      <c r="E223" s="18">
        <v>13.100000000000001</v>
      </c>
      <c r="F223" s="67">
        <v>64.400000000000006</v>
      </c>
      <c r="G223" s="13">
        <v>21.3</v>
      </c>
      <c r="I223" s="69"/>
      <c r="J223" s="69"/>
      <c r="K223" s="69"/>
      <c r="L223" s="69"/>
      <c r="M223" s="69"/>
      <c r="N223" s="69"/>
    </row>
    <row r="224" spans="1:14" x14ac:dyDescent="0.25">
      <c r="A224" s="6" t="s">
        <v>23</v>
      </c>
      <c r="B224" s="22" t="s">
        <v>92</v>
      </c>
      <c r="C224" s="18" t="s">
        <v>92</v>
      </c>
      <c r="D224" s="18">
        <v>0.4</v>
      </c>
      <c r="E224" s="18">
        <v>16.2</v>
      </c>
      <c r="F224" s="67">
        <v>66.900000000000006</v>
      </c>
      <c r="G224" s="13">
        <v>16.3</v>
      </c>
      <c r="I224" s="69"/>
      <c r="J224" s="69"/>
      <c r="K224" s="69"/>
      <c r="L224" s="69"/>
      <c r="M224" s="69"/>
      <c r="N224" s="69"/>
    </row>
    <row r="225" spans="1:14" x14ac:dyDescent="0.25">
      <c r="A225" s="6" t="s">
        <v>24</v>
      </c>
      <c r="B225" s="22">
        <v>0.5</v>
      </c>
      <c r="C225" s="18">
        <v>0.4</v>
      </c>
      <c r="D225" s="18">
        <v>0.70000000000000007</v>
      </c>
      <c r="E225" s="18">
        <v>25.5</v>
      </c>
      <c r="F225" s="67">
        <v>36.700000000000003</v>
      </c>
      <c r="G225" s="13">
        <v>36.199999999999996</v>
      </c>
      <c r="I225" s="69"/>
      <c r="J225" s="69"/>
      <c r="K225" s="69"/>
      <c r="L225" s="69"/>
      <c r="M225" s="69"/>
      <c r="N225" s="69"/>
    </row>
    <row r="226" spans="1:14" x14ac:dyDescent="0.25">
      <c r="A226" s="6" t="s">
        <v>25</v>
      </c>
      <c r="B226" s="22">
        <v>0</v>
      </c>
      <c r="C226" s="18">
        <v>0.3</v>
      </c>
      <c r="D226" s="18">
        <v>12.5</v>
      </c>
      <c r="E226" s="18">
        <v>14.499999999999998</v>
      </c>
      <c r="F226" s="67">
        <v>63.800000000000004</v>
      </c>
      <c r="G226" s="13">
        <v>8.9</v>
      </c>
      <c r="I226" s="69"/>
      <c r="J226" s="69"/>
      <c r="K226" s="69"/>
      <c r="L226" s="69"/>
      <c r="M226" s="69"/>
      <c r="N226" s="69"/>
    </row>
    <row r="227" spans="1:14" x14ac:dyDescent="0.25">
      <c r="A227" s="6" t="s">
        <v>26</v>
      </c>
      <c r="B227" s="22">
        <v>0</v>
      </c>
      <c r="C227" s="18" t="s">
        <v>92</v>
      </c>
      <c r="D227" s="18">
        <v>0.1</v>
      </c>
      <c r="E227" s="18">
        <v>15.2</v>
      </c>
      <c r="F227" s="67">
        <v>75.3</v>
      </c>
      <c r="G227" s="13">
        <v>9.1999999999999993</v>
      </c>
      <c r="I227" s="69"/>
      <c r="J227" s="69"/>
      <c r="K227" s="69"/>
      <c r="L227" s="69"/>
      <c r="M227" s="69"/>
      <c r="N227" s="69"/>
    </row>
    <row r="228" spans="1:14" x14ac:dyDescent="0.25">
      <c r="A228" s="6" t="s">
        <v>27</v>
      </c>
      <c r="B228" s="22">
        <v>0</v>
      </c>
      <c r="C228" s="18">
        <v>0</v>
      </c>
      <c r="D228" s="18" t="s">
        <v>92</v>
      </c>
      <c r="E228" s="18" t="s">
        <v>92</v>
      </c>
      <c r="F228" s="67">
        <v>60</v>
      </c>
      <c r="G228" s="13">
        <v>21.8</v>
      </c>
      <c r="I228" s="69"/>
      <c r="J228" s="69"/>
      <c r="K228" s="69"/>
      <c r="L228" s="69"/>
      <c r="M228" s="69"/>
      <c r="N228" s="69"/>
    </row>
    <row r="229" spans="1:14" x14ac:dyDescent="0.25">
      <c r="A229" s="6" t="s">
        <v>28</v>
      </c>
      <c r="B229" s="22">
        <v>0.5</v>
      </c>
      <c r="C229" s="18">
        <v>0.5</v>
      </c>
      <c r="D229" s="18">
        <v>1.0999999999999999</v>
      </c>
      <c r="E229" s="18">
        <v>14.799999999999999</v>
      </c>
      <c r="F229" s="67">
        <v>61.6</v>
      </c>
      <c r="G229" s="13">
        <v>21.5</v>
      </c>
      <c r="I229" s="69"/>
      <c r="J229" s="69"/>
      <c r="K229" s="69"/>
      <c r="L229" s="69"/>
      <c r="M229" s="69"/>
      <c r="N229" s="69"/>
    </row>
    <row r="230" spans="1:14" x14ac:dyDescent="0.25">
      <c r="A230" s="6" t="s">
        <v>29</v>
      </c>
      <c r="B230" s="22">
        <v>0.1</v>
      </c>
      <c r="C230" s="18">
        <v>0.3</v>
      </c>
      <c r="D230" s="18">
        <v>1.0999999999999999</v>
      </c>
      <c r="E230" s="18">
        <v>12.5</v>
      </c>
      <c r="F230" s="67">
        <v>58.3</v>
      </c>
      <c r="G230" s="13">
        <v>27.700000000000003</v>
      </c>
      <c r="I230" s="69"/>
      <c r="J230" s="69"/>
      <c r="K230" s="69"/>
      <c r="L230" s="69"/>
      <c r="M230" s="69"/>
      <c r="N230" s="69"/>
    </row>
    <row r="231" spans="1:14" x14ac:dyDescent="0.25">
      <c r="A231" s="7" t="s">
        <v>30</v>
      </c>
      <c r="B231" s="23" t="s">
        <v>92</v>
      </c>
      <c r="C231" s="20">
        <v>0.3</v>
      </c>
      <c r="D231" s="20">
        <v>0.8</v>
      </c>
      <c r="E231" s="20">
        <v>7.0000000000000009</v>
      </c>
      <c r="F231" s="66">
        <v>49.4</v>
      </c>
      <c r="G231" s="14">
        <v>42.1</v>
      </c>
      <c r="I231" s="69"/>
      <c r="J231" s="69"/>
      <c r="K231" s="69"/>
      <c r="L231" s="69"/>
      <c r="M231" s="69"/>
      <c r="N231" s="69"/>
    </row>
    <row r="232" spans="1:14" x14ac:dyDescent="0.25">
      <c r="A232" s="8" t="s">
        <v>116</v>
      </c>
    </row>
    <row r="233" spans="1:14" x14ac:dyDescent="0.25">
      <c r="A233" s="8" t="s">
        <v>7</v>
      </c>
    </row>
    <row r="234" spans="1:14" x14ac:dyDescent="0.25">
      <c r="A234" s="63"/>
    </row>
    <row r="235" spans="1:14" x14ac:dyDescent="0.25">
      <c r="A235" s="63"/>
    </row>
    <row r="236" spans="1:14" x14ac:dyDescent="0.25">
      <c r="A236" s="63"/>
    </row>
    <row r="237" spans="1:14" x14ac:dyDescent="0.25">
      <c r="A237" s="63"/>
    </row>
    <row r="238" spans="1:14" x14ac:dyDescent="0.25">
      <c r="A238" s="63"/>
    </row>
    <row r="239" spans="1:14" x14ac:dyDescent="0.25">
      <c r="A239" s="63"/>
    </row>
    <row r="240" spans="1:14" x14ac:dyDescent="0.25">
      <c r="A240" s="63"/>
    </row>
    <row r="241" spans="1:1" x14ac:dyDescent="0.25">
      <c r="A241" s="63"/>
    </row>
    <row r="242" spans="1:1" x14ac:dyDescent="0.25">
      <c r="A242" s="63"/>
    </row>
    <row r="243" spans="1:1" x14ac:dyDescent="0.25">
      <c r="A243" s="63"/>
    </row>
    <row r="244" spans="1:1" x14ac:dyDescent="0.25">
      <c r="A244" s="63"/>
    </row>
    <row r="245" spans="1:1" x14ac:dyDescent="0.25">
      <c r="A245" s="63"/>
    </row>
    <row r="246" spans="1:1" x14ac:dyDescent="0.25">
      <c r="A246" s="63"/>
    </row>
    <row r="247" spans="1:1" x14ac:dyDescent="0.25">
      <c r="A247" s="63"/>
    </row>
    <row r="248" spans="1:1" x14ac:dyDescent="0.25">
      <c r="A248" s="63"/>
    </row>
    <row r="249" spans="1:1" x14ac:dyDescent="0.25">
      <c r="A249" s="63"/>
    </row>
    <row r="250" spans="1:1" x14ac:dyDescent="0.25">
      <c r="A250" s="63"/>
    </row>
    <row r="251" spans="1:1" x14ac:dyDescent="0.25">
      <c r="A251" s="63"/>
    </row>
    <row r="252" spans="1:1" x14ac:dyDescent="0.25">
      <c r="A252" s="63"/>
    </row>
    <row r="253" spans="1:1" x14ac:dyDescent="0.25">
      <c r="A253" s="63"/>
    </row>
    <row r="254" spans="1:1" x14ac:dyDescent="0.25">
      <c r="A254" s="63"/>
    </row>
    <row r="255" spans="1:1" x14ac:dyDescent="0.25">
      <c r="A255" s="63"/>
    </row>
    <row r="256" spans="1:1" x14ac:dyDescent="0.25">
      <c r="A256" s="63"/>
    </row>
    <row r="257" spans="1:14" x14ac:dyDescent="0.25">
      <c r="A257" s="63"/>
    </row>
    <row r="258" spans="1:14" x14ac:dyDescent="0.25">
      <c r="A258" s="63"/>
    </row>
    <row r="259" spans="1:14" x14ac:dyDescent="0.25">
      <c r="A259" s="63"/>
    </row>
    <row r="260" spans="1:14" x14ac:dyDescent="0.25">
      <c r="A260" s="63"/>
    </row>
    <row r="261" spans="1:14" x14ac:dyDescent="0.25">
      <c r="A261" s="63"/>
    </row>
    <row r="262" spans="1:14" x14ac:dyDescent="0.25">
      <c r="A262" s="63"/>
    </row>
    <row r="263" spans="1:14" x14ac:dyDescent="0.25">
      <c r="A263" s="63"/>
    </row>
    <row r="266" spans="1:14" x14ac:dyDescent="0.25">
      <c r="A266" s="63"/>
    </row>
    <row r="267" spans="1:14" x14ac:dyDescent="0.25">
      <c r="A267" s="3" t="s">
        <v>179</v>
      </c>
    </row>
    <row r="268" spans="1:14" ht="105.75" customHeight="1" x14ac:dyDescent="0.25">
      <c r="B268" s="51" t="s">
        <v>66</v>
      </c>
      <c r="C268" s="47" t="s">
        <v>67</v>
      </c>
      <c r="D268" s="47" t="s">
        <v>70</v>
      </c>
      <c r="E268" s="47" t="s">
        <v>71</v>
      </c>
      <c r="F268" s="47" t="s">
        <v>68</v>
      </c>
      <c r="G268" s="50" t="s">
        <v>69</v>
      </c>
    </row>
    <row r="269" spans="1:14" x14ac:dyDescent="0.25">
      <c r="A269" s="42" t="s">
        <v>0</v>
      </c>
      <c r="B269" s="23">
        <v>0</v>
      </c>
      <c r="C269" s="20">
        <v>0</v>
      </c>
      <c r="D269" s="20" t="s">
        <v>92</v>
      </c>
      <c r="E269" s="20" t="s">
        <v>92</v>
      </c>
      <c r="F269" s="66">
        <v>2.5</v>
      </c>
      <c r="G269" s="14">
        <v>97.3</v>
      </c>
      <c r="I269" s="69"/>
      <c r="J269" s="69"/>
      <c r="K269" s="69"/>
      <c r="L269" s="69"/>
      <c r="M269" s="69"/>
      <c r="N269" s="69"/>
    </row>
    <row r="270" spans="1:14" x14ac:dyDescent="0.25">
      <c r="A270" s="6" t="s">
        <v>51</v>
      </c>
      <c r="B270" s="22">
        <v>0</v>
      </c>
      <c r="C270" s="18">
        <v>0</v>
      </c>
      <c r="D270" s="18">
        <v>0</v>
      </c>
      <c r="E270" s="18" t="s">
        <v>92</v>
      </c>
      <c r="F270" s="67" t="s">
        <v>92</v>
      </c>
      <c r="G270" s="13">
        <v>99.6</v>
      </c>
      <c r="I270" s="69"/>
      <c r="J270" s="69"/>
      <c r="K270" s="69"/>
      <c r="L270" s="69"/>
      <c r="M270" s="69"/>
      <c r="N270" s="69"/>
    </row>
    <row r="271" spans="1:14" x14ac:dyDescent="0.25">
      <c r="A271" s="6" t="s">
        <v>16</v>
      </c>
      <c r="B271" s="22">
        <v>0</v>
      </c>
      <c r="C271" s="18">
        <v>0</v>
      </c>
      <c r="D271" s="18">
        <v>0</v>
      </c>
      <c r="E271" s="18" t="s">
        <v>92</v>
      </c>
      <c r="F271" s="67" t="s">
        <v>92</v>
      </c>
      <c r="G271" s="13">
        <v>99.4</v>
      </c>
      <c r="I271" s="69"/>
      <c r="J271" s="69"/>
      <c r="K271" s="69"/>
      <c r="L271" s="69"/>
      <c r="M271" s="69"/>
      <c r="N271" s="69"/>
    </row>
    <row r="272" spans="1:14" x14ac:dyDescent="0.25">
      <c r="A272" s="6" t="s">
        <v>17</v>
      </c>
      <c r="B272" s="22">
        <v>0</v>
      </c>
      <c r="C272" s="18">
        <v>0</v>
      </c>
      <c r="D272" s="18">
        <v>0</v>
      </c>
      <c r="E272" s="18">
        <v>0</v>
      </c>
      <c r="F272" s="67">
        <v>0</v>
      </c>
      <c r="G272" s="13">
        <v>100</v>
      </c>
      <c r="I272" s="69"/>
      <c r="J272" s="69"/>
      <c r="K272" s="69"/>
      <c r="L272" s="69"/>
      <c r="M272" s="69"/>
      <c r="N272" s="69"/>
    </row>
    <row r="273" spans="1:14" x14ac:dyDescent="0.25">
      <c r="A273" s="6" t="s">
        <v>18</v>
      </c>
      <c r="B273" s="22">
        <v>0</v>
      </c>
      <c r="C273" s="18">
        <v>0</v>
      </c>
      <c r="D273" s="18">
        <v>0</v>
      </c>
      <c r="E273" s="18">
        <v>0</v>
      </c>
      <c r="F273" s="67" t="s">
        <v>92</v>
      </c>
      <c r="G273" s="13">
        <v>97.3</v>
      </c>
      <c r="I273" s="69"/>
      <c r="J273" s="69"/>
      <c r="K273" s="69"/>
      <c r="L273" s="69"/>
      <c r="M273" s="69"/>
      <c r="N273" s="69"/>
    </row>
    <row r="274" spans="1:14" x14ac:dyDescent="0.25">
      <c r="A274" s="6" t="s">
        <v>19</v>
      </c>
      <c r="B274" s="22">
        <v>0</v>
      </c>
      <c r="C274" s="18">
        <v>0</v>
      </c>
      <c r="D274" s="18">
        <v>0</v>
      </c>
      <c r="E274" s="18">
        <v>0</v>
      </c>
      <c r="F274" s="67">
        <v>1.5</v>
      </c>
      <c r="G274" s="13">
        <v>98.5</v>
      </c>
      <c r="I274" s="69"/>
      <c r="J274" s="69"/>
      <c r="K274" s="69"/>
      <c r="L274" s="69"/>
      <c r="M274" s="69"/>
      <c r="N274" s="69"/>
    </row>
    <row r="275" spans="1:14" x14ac:dyDescent="0.25">
      <c r="A275" s="6" t="s">
        <v>20</v>
      </c>
      <c r="B275" s="22">
        <v>0</v>
      </c>
      <c r="C275" s="18">
        <v>0</v>
      </c>
      <c r="D275" s="18" t="s">
        <v>92</v>
      </c>
      <c r="E275" s="18" t="s">
        <v>92</v>
      </c>
      <c r="F275" s="67">
        <v>1.7000000000000002</v>
      </c>
      <c r="G275" s="13">
        <v>98.1</v>
      </c>
      <c r="I275" s="69"/>
      <c r="J275" s="69"/>
      <c r="K275" s="69"/>
      <c r="L275" s="69"/>
      <c r="M275" s="69"/>
      <c r="N275" s="69"/>
    </row>
    <row r="276" spans="1:14" x14ac:dyDescent="0.25">
      <c r="A276" s="6" t="s">
        <v>21</v>
      </c>
      <c r="B276" s="22">
        <v>0</v>
      </c>
      <c r="C276" s="18">
        <v>0</v>
      </c>
      <c r="D276" s="18">
        <v>0</v>
      </c>
      <c r="E276" s="18" t="s">
        <v>92</v>
      </c>
      <c r="F276" s="67" t="s">
        <v>92</v>
      </c>
      <c r="G276" s="13">
        <v>99</v>
      </c>
      <c r="I276" s="69"/>
      <c r="J276" s="69"/>
      <c r="K276" s="69"/>
      <c r="L276" s="69"/>
      <c r="M276" s="69"/>
      <c r="N276" s="69"/>
    </row>
    <row r="277" spans="1:14" x14ac:dyDescent="0.25">
      <c r="A277" s="6" t="s">
        <v>22</v>
      </c>
      <c r="B277" s="22">
        <v>0</v>
      </c>
      <c r="C277" s="18">
        <v>0</v>
      </c>
      <c r="D277" s="18" t="s">
        <v>92</v>
      </c>
      <c r="E277" s="18" t="s">
        <v>92</v>
      </c>
      <c r="F277" s="67">
        <v>2.8000000000000003</v>
      </c>
      <c r="G277" s="13">
        <v>97.1</v>
      </c>
      <c r="I277" s="69"/>
      <c r="J277" s="69"/>
      <c r="K277" s="69"/>
      <c r="L277" s="69"/>
      <c r="M277" s="69"/>
      <c r="N277" s="69"/>
    </row>
    <row r="278" spans="1:14" x14ac:dyDescent="0.25">
      <c r="A278" s="6" t="s">
        <v>23</v>
      </c>
      <c r="B278" s="22">
        <v>0</v>
      </c>
      <c r="C278" s="18">
        <v>0</v>
      </c>
      <c r="D278" s="18">
        <v>0</v>
      </c>
      <c r="E278" s="18">
        <v>0</v>
      </c>
      <c r="F278" s="67">
        <v>7.7</v>
      </c>
      <c r="G278" s="13">
        <v>92.300000000000011</v>
      </c>
      <c r="I278" s="69"/>
      <c r="J278" s="69"/>
      <c r="K278" s="69"/>
      <c r="L278" s="69"/>
      <c r="M278" s="69"/>
      <c r="N278" s="69"/>
    </row>
    <row r="279" spans="1:14" x14ac:dyDescent="0.25">
      <c r="A279" s="6" t="s">
        <v>24</v>
      </c>
      <c r="B279" s="22">
        <v>0</v>
      </c>
      <c r="C279" s="18">
        <v>0</v>
      </c>
      <c r="D279" s="18">
        <v>0</v>
      </c>
      <c r="E279" s="18" t="s">
        <v>92</v>
      </c>
      <c r="F279" s="67" t="s">
        <v>92</v>
      </c>
      <c r="G279" s="13">
        <v>94.3</v>
      </c>
      <c r="I279" s="69"/>
      <c r="J279" s="69"/>
      <c r="K279" s="69"/>
      <c r="L279" s="69"/>
      <c r="M279" s="69"/>
      <c r="N279" s="69"/>
    </row>
    <row r="280" spans="1:14" x14ac:dyDescent="0.25">
      <c r="A280" s="6" t="s">
        <v>25</v>
      </c>
      <c r="B280" s="22">
        <v>0</v>
      </c>
      <c r="C280" s="18">
        <v>0</v>
      </c>
      <c r="D280" s="18">
        <v>0</v>
      </c>
      <c r="E280" s="18">
        <v>0</v>
      </c>
      <c r="F280" s="67">
        <v>11.200000000000001</v>
      </c>
      <c r="G280" s="13">
        <v>88.8</v>
      </c>
      <c r="I280" s="69"/>
      <c r="J280" s="69"/>
      <c r="K280" s="69"/>
      <c r="L280" s="69"/>
      <c r="M280" s="69"/>
      <c r="N280" s="69"/>
    </row>
    <row r="281" spans="1:14" x14ac:dyDescent="0.25">
      <c r="A281" s="6" t="s">
        <v>26</v>
      </c>
      <c r="B281" s="22">
        <v>0</v>
      </c>
      <c r="C281" s="18">
        <v>0</v>
      </c>
      <c r="D281" s="18">
        <v>0</v>
      </c>
      <c r="E281" s="18">
        <v>0</v>
      </c>
      <c r="F281" s="67">
        <v>0.5</v>
      </c>
      <c r="G281" s="13">
        <v>99.5</v>
      </c>
      <c r="I281" s="69"/>
      <c r="J281" s="69"/>
      <c r="K281" s="69"/>
      <c r="L281" s="69"/>
      <c r="M281" s="69"/>
      <c r="N281" s="69"/>
    </row>
    <row r="282" spans="1:14" x14ac:dyDescent="0.25">
      <c r="A282" s="6" t="s">
        <v>27</v>
      </c>
      <c r="B282" s="22">
        <v>0</v>
      </c>
      <c r="C282" s="18">
        <v>0</v>
      </c>
      <c r="D282" s="18">
        <v>0</v>
      </c>
      <c r="E282" s="18">
        <v>0</v>
      </c>
      <c r="F282" s="67">
        <v>0.89999999999999991</v>
      </c>
      <c r="G282" s="13">
        <v>99.1</v>
      </c>
      <c r="I282" s="69"/>
      <c r="J282" s="69"/>
      <c r="K282" s="69"/>
      <c r="L282" s="69"/>
      <c r="M282" s="69"/>
      <c r="N282" s="69"/>
    </row>
    <row r="283" spans="1:14" x14ac:dyDescent="0.25">
      <c r="A283" s="6" t="s">
        <v>28</v>
      </c>
      <c r="B283" s="22">
        <v>0</v>
      </c>
      <c r="C283" s="18">
        <v>0</v>
      </c>
      <c r="D283" s="18">
        <v>0</v>
      </c>
      <c r="E283" s="18">
        <v>0.3</v>
      </c>
      <c r="F283" s="67">
        <v>1.6</v>
      </c>
      <c r="G283" s="13">
        <v>98.1</v>
      </c>
      <c r="I283" s="69"/>
      <c r="J283" s="69"/>
      <c r="K283" s="69"/>
      <c r="L283" s="69"/>
      <c r="M283" s="69"/>
      <c r="N283" s="69"/>
    </row>
    <row r="284" spans="1:14" x14ac:dyDescent="0.25">
      <c r="A284" s="6" t="s">
        <v>29</v>
      </c>
      <c r="B284" s="22">
        <v>0</v>
      </c>
      <c r="C284" s="18">
        <v>0</v>
      </c>
      <c r="D284" s="18">
        <v>0</v>
      </c>
      <c r="E284" s="18" t="s">
        <v>92</v>
      </c>
      <c r="F284" s="67" t="s">
        <v>92</v>
      </c>
      <c r="G284" s="13">
        <v>99.2</v>
      </c>
      <c r="I284" s="69"/>
      <c r="J284" s="69"/>
      <c r="K284" s="69"/>
      <c r="L284" s="69"/>
      <c r="M284" s="69"/>
      <c r="N284" s="69"/>
    </row>
    <row r="285" spans="1:14" x14ac:dyDescent="0.25">
      <c r="A285" s="7" t="s">
        <v>30</v>
      </c>
      <c r="B285" s="23">
        <v>0</v>
      </c>
      <c r="C285" s="20">
        <v>0</v>
      </c>
      <c r="D285" s="20">
        <v>0</v>
      </c>
      <c r="E285" s="20" t="s">
        <v>92</v>
      </c>
      <c r="F285" s="66" t="s">
        <v>92</v>
      </c>
      <c r="G285" s="14">
        <v>99.5</v>
      </c>
      <c r="I285" s="69"/>
      <c r="J285" s="69"/>
      <c r="K285" s="69"/>
      <c r="L285" s="69"/>
      <c r="M285" s="69"/>
      <c r="N285" s="69"/>
    </row>
    <row r="286" spans="1:14" x14ac:dyDescent="0.25">
      <c r="A286" s="8" t="s">
        <v>116</v>
      </c>
    </row>
    <row r="287" spans="1:14" x14ac:dyDescent="0.25">
      <c r="A287" s="8" t="s">
        <v>7</v>
      </c>
    </row>
  </sheetData>
  <hyperlinks>
    <hyperlink ref="F1" location="'Lisez-moi'!A1" display="Retour au sommair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39"/>
  <sheetViews>
    <sheetView zoomScaleNormal="100" workbookViewId="0">
      <selection activeCell="L14" sqref="L14"/>
    </sheetView>
  </sheetViews>
  <sheetFormatPr baseColWidth="10" defaultRowHeight="15" x14ac:dyDescent="0.25"/>
  <cols>
    <col min="1" max="1" width="91.42578125" customWidth="1"/>
  </cols>
  <sheetData>
    <row r="1" spans="1:16" x14ac:dyDescent="0.25">
      <c r="A1" s="4" t="s">
        <v>173</v>
      </c>
      <c r="G1" s="76" t="s">
        <v>111</v>
      </c>
    </row>
    <row r="3" spans="1:16" x14ac:dyDescent="0.25">
      <c r="A3" s="68" t="s">
        <v>180</v>
      </c>
      <c r="B3" s="68"/>
      <c r="C3" s="68"/>
      <c r="D3" s="68"/>
      <c r="E3" s="68"/>
      <c r="F3" s="68"/>
      <c r="G3" s="68"/>
      <c r="H3" s="68"/>
      <c r="I3" s="68"/>
      <c r="J3" s="68"/>
    </row>
    <row r="4" spans="1:16" x14ac:dyDescent="0.25">
      <c r="A4" s="68"/>
      <c r="B4" s="33" t="s">
        <v>0</v>
      </c>
      <c r="C4" s="30" t="s">
        <v>8</v>
      </c>
      <c r="D4" s="31" t="s">
        <v>9</v>
      </c>
      <c r="E4" s="31" t="s">
        <v>10</v>
      </c>
      <c r="F4" s="31" t="s">
        <v>11</v>
      </c>
      <c r="G4" s="31" t="s">
        <v>12</v>
      </c>
      <c r="H4" s="32" t="s">
        <v>13</v>
      </c>
      <c r="I4" s="68"/>
      <c r="J4" s="68"/>
    </row>
    <row r="5" spans="1:16" x14ac:dyDescent="0.25">
      <c r="A5" s="1" t="s">
        <v>61</v>
      </c>
      <c r="B5" s="36">
        <v>63</v>
      </c>
      <c r="C5" s="18">
        <v>74.3</v>
      </c>
      <c r="D5" s="18">
        <v>71.099999999999994</v>
      </c>
      <c r="E5" s="18">
        <v>68.2</v>
      </c>
      <c r="F5" s="18">
        <v>64.2</v>
      </c>
      <c r="G5" s="18">
        <v>59.9</v>
      </c>
      <c r="H5" s="13">
        <v>55.600000000000009</v>
      </c>
      <c r="I5" s="68"/>
      <c r="J5" s="69"/>
      <c r="K5" s="69"/>
      <c r="L5" s="69"/>
      <c r="M5" s="69"/>
      <c r="N5" s="69"/>
      <c r="O5" s="69"/>
      <c r="P5" s="69"/>
    </row>
    <row r="6" spans="1:16" x14ac:dyDescent="0.25">
      <c r="A6" s="46" t="s">
        <v>62</v>
      </c>
      <c r="B6" s="36">
        <v>16.600000000000001</v>
      </c>
      <c r="C6" s="18">
        <v>9.1</v>
      </c>
      <c r="D6" s="18">
        <v>10.100000000000001</v>
      </c>
      <c r="E6" s="18">
        <v>12.6</v>
      </c>
      <c r="F6" s="18">
        <v>14.899999999999999</v>
      </c>
      <c r="G6" s="18">
        <v>18.2</v>
      </c>
      <c r="H6" s="13">
        <v>22.400000000000002</v>
      </c>
      <c r="I6" s="68"/>
      <c r="J6" s="69"/>
      <c r="K6" s="69"/>
      <c r="L6" s="69"/>
      <c r="M6" s="69"/>
      <c r="N6" s="69"/>
      <c r="O6" s="69"/>
      <c r="P6" s="69"/>
    </row>
    <row r="7" spans="1:16" x14ac:dyDescent="0.25">
      <c r="A7" s="46" t="s">
        <v>63</v>
      </c>
      <c r="B7" s="36">
        <v>6.9</v>
      </c>
      <c r="C7" s="18">
        <v>8.1</v>
      </c>
      <c r="D7" s="18">
        <v>7.3</v>
      </c>
      <c r="E7" s="18">
        <v>6.1</v>
      </c>
      <c r="F7" s="18">
        <v>6.7</v>
      </c>
      <c r="G7" s="18">
        <v>7.3999999999999995</v>
      </c>
      <c r="H7" s="13">
        <v>6.6000000000000005</v>
      </c>
      <c r="I7" s="68"/>
      <c r="J7" s="69"/>
      <c r="K7" s="69"/>
      <c r="L7" s="69"/>
      <c r="M7" s="69"/>
      <c r="N7" s="69"/>
      <c r="O7" s="69"/>
      <c r="P7" s="69"/>
    </row>
    <row r="8" spans="1:16" x14ac:dyDescent="0.25">
      <c r="A8" s="46" t="s">
        <v>104</v>
      </c>
      <c r="B8" s="36">
        <v>6.2</v>
      </c>
      <c r="C8" s="18">
        <v>3.5999999999999996</v>
      </c>
      <c r="D8" s="18">
        <v>5.3</v>
      </c>
      <c r="E8" s="18">
        <v>6.2</v>
      </c>
      <c r="F8" s="18">
        <v>6.9</v>
      </c>
      <c r="G8" s="18">
        <v>6.8000000000000007</v>
      </c>
      <c r="H8" s="13">
        <v>7.0000000000000009</v>
      </c>
      <c r="I8" s="68"/>
      <c r="J8" s="69"/>
      <c r="K8" s="69"/>
      <c r="L8" s="69"/>
      <c r="M8" s="69"/>
      <c r="N8" s="69"/>
      <c r="O8" s="69"/>
      <c r="P8" s="69"/>
    </row>
    <row r="9" spans="1:16" x14ac:dyDescent="0.25">
      <c r="A9" s="46" t="s">
        <v>64</v>
      </c>
      <c r="B9" s="36">
        <v>7.1</v>
      </c>
      <c r="C9" s="18">
        <v>4.9000000000000004</v>
      </c>
      <c r="D9" s="18">
        <v>6.1</v>
      </c>
      <c r="E9" s="18">
        <v>6.7</v>
      </c>
      <c r="F9" s="18">
        <v>7.1999999999999993</v>
      </c>
      <c r="G9" s="18">
        <v>7.6</v>
      </c>
      <c r="H9" s="13">
        <v>8.2000000000000011</v>
      </c>
      <c r="I9" s="68"/>
      <c r="J9" s="69"/>
      <c r="K9" s="69"/>
      <c r="L9" s="69"/>
      <c r="M9" s="69"/>
      <c r="N9" s="69"/>
      <c r="O9" s="69"/>
      <c r="P9" s="69"/>
    </row>
    <row r="10" spans="1:16" x14ac:dyDescent="0.25">
      <c r="A10" s="52" t="s">
        <v>65</v>
      </c>
      <c r="B10" s="37">
        <v>0.2</v>
      </c>
      <c r="C10" s="20">
        <v>0.1</v>
      </c>
      <c r="D10" s="20">
        <v>0.1</v>
      </c>
      <c r="E10" s="20">
        <v>0.1</v>
      </c>
      <c r="F10" s="20">
        <v>0.1</v>
      </c>
      <c r="G10" s="20">
        <v>0.1</v>
      </c>
      <c r="H10" s="14">
        <v>0.3</v>
      </c>
      <c r="I10" s="68"/>
      <c r="J10" s="69"/>
      <c r="K10" s="69"/>
      <c r="L10" s="69"/>
      <c r="M10" s="69"/>
      <c r="N10" s="69"/>
      <c r="O10" s="69"/>
      <c r="P10" s="69"/>
    </row>
    <row r="11" spans="1:16" x14ac:dyDescent="0.25">
      <c r="A11" s="8" t="s">
        <v>116</v>
      </c>
      <c r="B11" s="68"/>
      <c r="C11" s="68"/>
      <c r="D11" s="68"/>
      <c r="E11" s="68"/>
      <c r="F11" s="68"/>
      <c r="G11" s="68"/>
      <c r="H11" s="68"/>
      <c r="I11" s="68"/>
      <c r="J11" s="68"/>
    </row>
    <row r="12" spans="1:16" x14ac:dyDescent="0.25">
      <c r="A12" s="8" t="s">
        <v>7</v>
      </c>
      <c r="B12" s="68"/>
      <c r="C12" s="68"/>
      <c r="D12" s="68"/>
      <c r="E12" s="68"/>
      <c r="F12" s="68"/>
      <c r="G12" s="68"/>
      <c r="H12" s="68"/>
      <c r="I12" s="68"/>
      <c r="J12" s="68"/>
    </row>
    <row r="13" spans="1:16" x14ac:dyDescent="0.25">
      <c r="A13" s="63"/>
      <c r="B13" s="68"/>
      <c r="C13" s="68"/>
      <c r="D13" s="68"/>
      <c r="E13" s="68"/>
      <c r="F13" s="68"/>
      <c r="G13" s="68"/>
      <c r="H13" s="68"/>
      <c r="I13" s="68"/>
      <c r="J13" s="68"/>
    </row>
    <row r="14" spans="1:16" x14ac:dyDescent="0.25">
      <c r="A14" s="63"/>
      <c r="B14" s="68"/>
      <c r="C14" s="68"/>
      <c r="D14" s="68"/>
      <c r="E14" s="68"/>
      <c r="F14" s="68"/>
      <c r="G14" s="68"/>
      <c r="H14" s="68"/>
      <c r="I14" s="68"/>
      <c r="J14" s="68"/>
    </row>
    <row r="15" spans="1:16" x14ac:dyDescent="0.25">
      <c r="A15" s="63"/>
      <c r="B15" s="68"/>
      <c r="C15" s="68"/>
      <c r="D15" s="68"/>
      <c r="E15" s="68"/>
      <c r="F15" s="68"/>
      <c r="G15" s="68"/>
      <c r="H15" s="68"/>
      <c r="I15" s="68"/>
      <c r="J15" s="68"/>
    </row>
    <row r="16" spans="1:16" x14ac:dyDescent="0.25">
      <c r="A16" s="63"/>
      <c r="B16" s="68"/>
      <c r="C16" s="68"/>
      <c r="D16" s="68"/>
      <c r="E16" s="68"/>
      <c r="F16" s="68"/>
      <c r="G16" s="68"/>
      <c r="H16" s="68"/>
      <c r="I16" s="68"/>
      <c r="J16" s="68"/>
    </row>
    <row r="17" spans="1:10" x14ac:dyDescent="0.25">
      <c r="A17" s="63"/>
      <c r="B17" s="68"/>
      <c r="C17" s="68"/>
      <c r="D17" s="68"/>
      <c r="E17" s="68"/>
      <c r="F17" s="68"/>
      <c r="G17" s="68"/>
      <c r="H17" s="68"/>
      <c r="I17" s="68"/>
      <c r="J17" s="68"/>
    </row>
    <row r="18" spans="1:10" x14ac:dyDescent="0.25">
      <c r="A18" s="63"/>
      <c r="B18" s="68"/>
      <c r="C18" s="68"/>
      <c r="D18" s="68"/>
      <c r="E18" s="68"/>
      <c r="F18" s="68"/>
      <c r="G18" s="68"/>
      <c r="H18" s="68"/>
      <c r="I18" s="68"/>
      <c r="J18" s="68"/>
    </row>
    <row r="19" spans="1:10" x14ac:dyDescent="0.25">
      <c r="A19" s="63"/>
      <c r="B19" s="68"/>
      <c r="C19" s="68"/>
      <c r="D19" s="68"/>
      <c r="E19" s="68"/>
      <c r="F19" s="68"/>
      <c r="G19" s="68"/>
      <c r="H19" s="68"/>
      <c r="I19" s="68"/>
      <c r="J19" s="68"/>
    </row>
    <row r="20" spans="1:10" x14ac:dyDescent="0.25">
      <c r="A20" s="63"/>
      <c r="B20" s="68"/>
      <c r="C20" s="68"/>
      <c r="D20" s="68"/>
      <c r="E20" s="68"/>
      <c r="F20" s="68"/>
      <c r="G20" s="68"/>
      <c r="H20" s="68"/>
      <c r="I20" s="68"/>
      <c r="J20" s="68"/>
    </row>
    <row r="21" spans="1:10" x14ac:dyDescent="0.25">
      <c r="A21" s="63"/>
      <c r="B21" s="68"/>
      <c r="C21" s="68"/>
      <c r="D21" s="68"/>
      <c r="E21" s="68"/>
      <c r="F21" s="68"/>
      <c r="G21" s="68"/>
      <c r="H21" s="68"/>
      <c r="I21" s="68"/>
      <c r="J21" s="68"/>
    </row>
    <row r="22" spans="1:10" x14ac:dyDescent="0.25">
      <c r="A22" s="63"/>
      <c r="B22" s="68"/>
      <c r="C22" s="68"/>
      <c r="D22" s="68"/>
      <c r="E22" s="68"/>
      <c r="F22" s="68"/>
      <c r="G22" s="68"/>
      <c r="H22" s="68"/>
      <c r="I22" s="68"/>
      <c r="J22" s="68"/>
    </row>
    <row r="23" spans="1:10" x14ac:dyDescent="0.25">
      <c r="A23" s="63"/>
      <c r="B23" s="68"/>
      <c r="C23" s="68"/>
      <c r="D23" s="68"/>
      <c r="E23" s="68"/>
      <c r="F23" s="68"/>
      <c r="G23" s="68"/>
      <c r="H23" s="68"/>
      <c r="I23" s="68"/>
      <c r="J23" s="68"/>
    </row>
    <row r="24" spans="1:10" x14ac:dyDescent="0.25">
      <c r="A24" s="63"/>
      <c r="B24" s="68"/>
      <c r="C24" s="68"/>
      <c r="D24" s="68"/>
      <c r="E24" s="68"/>
      <c r="F24" s="68"/>
      <c r="G24" s="68"/>
      <c r="H24" s="68"/>
      <c r="I24" s="68"/>
      <c r="J24" s="68"/>
    </row>
    <row r="25" spans="1:10" x14ac:dyDescent="0.25">
      <c r="A25" s="63"/>
      <c r="B25" s="68"/>
      <c r="C25" s="68"/>
      <c r="D25" s="68"/>
      <c r="E25" s="68"/>
      <c r="F25" s="68"/>
      <c r="G25" s="68"/>
      <c r="H25" s="68"/>
      <c r="I25" s="68"/>
      <c r="J25" s="68"/>
    </row>
    <row r="26" spans="1:10" x14ac:dyDescent="0.25">
      <c r="A26" s="63"/>
      <c r="B26" s="68"/>
      <c r="C26" s="68"/>
      <c r="D26" s="68"/>
      <c r="E26" s="68"/>
      <c r="F26" s="68"/>
      <c r="G26" s="68"/>
      <c r="H26" s="68"/>
      <c r="I26" s="68"/>
      <c r="J26" s="68"/>
    </row>
    <row r="27" spans="1:10" x14ac:dyDescent="0.25">
      <c r="A27" s="63"/>
      <c r="B27" s="68"/>
      <c r="C27" s="68"/>
      <c r="D27" s="68"/>
      <c r="E27" s="68"/>
      <c r="F27" s="68"/>
      <c r="G27" s="68"/>
      <c r="H27" s="68"/>
      <c r="I27" s="68"/>
      <c r="J27" s="68"/>
    </row>
    <row r="28" spans="1:10" x14ac:dyDescent="0.25">
      <c r="A28" s="63"/>
      <c r="B28" s="68"/>
      <c r="C28" s="68"/>
      <c r="D28" s="68"/>
      <c r="E28" s="68"/>
      <c r="F28" s="68"/>
      <c r="G28" s="68"/>
      <c r="H28" s="68"/>
      <c r="I28" s="68"/>
      <c r="J28" s="68"/>
    </row>
    <row r="29" spans="1:10" x14ac:dyDescent="0.25">
      <c r="A29" s="63"/>
      <c r="B29" s="68"/>
      <c r="C29" s="68"/>
      <c r="D29" s="68"/>
      <c r="E29" s="68"/>
      <c r="F29" s="68"/>
      <c r="G29" s="68"/>
      <c r="H29" s="68"/>
      <c r="I29" s="68"/>
      <c r="J29" s="68"/>
    </row>
    <row r="30" spans="1:10" x14ac:dyDescent="0.25">
      <c r="A30" s="63"/>
      <c r="B30" s="68"/>
      <c r="C30" s="68"/>
      <c r="D30" s="68"/>
      <c r="E30" s="68"/>
      <c r="F30" s="68"/>
      <c r="G30" s="68"/>
      <c r="H30" s="68"/>
      <c r="I30" s="68"/>
      <c r="J30" s="68"/>
    </row>
    <row r="31" spans="1:10" x14ac:dyDescent="0.25">
      <c r="A31" s="63"/>
      <c r="B31" s="68"/>
      <c r="C31" s="68"/>
      <c r="D31" s="68"/>
      <c r="E31" s="68"/>
      <c r="F31" s="68"/>
      <c r="G31" s="68"/>
      <c r="H31" s="68"/>
      <c r="I31" s="68"/>
      <c r="J31" s="68"/>
    </row>
    <row r="32" spans="1:10" x14ac:dyDescent="0.25">
      <c r="A32" s="68"/>
      <c r="B32" s="68"/>
      <c r="C32" s="68"/>
      <c r="D32" s="68"/>
      <c r="E32" s="68"/>
      <c r="F32" s="68"/>
      <c r="G32" s="68"/>
      <c r="H32" s="68"/>
      <c r="I32" s="68"/>
      <c r="J32" s="68"/>
    </row>
    <row r="33" spans="1:10" x14ac:dyDescent="0.25">
      <c r="A33" s="68"/>
      <c r="B33" s="68"/>
      <c r="C33" s="68"/>
      <c r="D33" s="68"/>
      <c r="E33" s="68"/>
      <c r="F33" s="68"/>
      <c r="G33" s="68"/>
      <c r="H33" s="68"/>
      <c r="I33" s="68"/>
      <c r="J33" s="68"/>
    </row>
    <row r="34" spans="1:10" x14ac:dyDescent="0.25">
      <c r="A34" s="68"/>
      <c r="B34" s="68"/>
      <c r="C34" s="68"/>
      <c r="D34" s="68"/>
      <c r="E34" s="68"/>
      <c r="F34" s="68"/>
      <c r="G34" s="68"/>
      <c r="H34" s="68"/>
      <c r="I34" s="68"/>
      <c r="J34" s="68"/>
    </row>
    <row r="35" spans="1:10" x14ac:dyDescent="0.25">
      <c r="A35" s="68"/>
      <c r="B35" s="68"/>
      <c r="C35" s="68"/>
      <c r="D35" s="68"/>
      <c r="E35" s="68"/>
      <c r="F35" s="68"/>
      <c r="G35" s="68"/>
      <c r="H35" s="68"/>
      <c r="I35" s="68"/>
      <c r="J35" s="68"/>
    </row>
    <row r="36" spans="1:10" x14ac:dyDescent="0.25">
      <c r="A36" s="68"/>
      <c r="B36" s="68"/>
      <c r="C36" s="68"/>
      <c r="D36" s="68"/>
      <c r="E36" s="68"/>
      <c r="F36" s="68"/>
      <c r="G36" s="68"/>
      <c r="H36" s="68"/>
      <c r="I36" s="68"/>
      <c r="J36" s="68"/>
    </row>
    <row r="37" spans="1:10" x14ac:dyDescent="0.25">
      <c r="A37" s="68"/>
      <c r="B37" s="68"/>
      <c r="C37" s="68"/>
      <c r="D37" s="68"/>
      <c r="E37" s="68"/>
      <c r="F37" s="68"/>
      <c r="G37" s="68"/>
      <c r="H37" s="68"/>
      <c r="I37" s="68"/>
      <c r="J37" s="68"/>
    </row>
    <row r="38" spans="1:10" x14ac:dyDescent="0.25">
      <c r="A38" s="68"/>
      <c r="B38" s="68"/>
      <c r="C38" s="68"/>
      <c r="D38" s="68"/>
      <c r="E38" s="68"/>
      <c r="F38" s="68"/>
      <c r="G38" s="68"/>
      <c r="H38" s="68"/>
      <c r="I38" s="68"/>
      <c r="J38" s="68"/>
    </row>
    <row r="39" spans="1:10" x14ac:dyDescent="0.25">
      <c r="A39" s="68"/>
      <c r="B39" s="68"/>
      <c r="C39" s="68"/>
      <c r="D39" s="68"/>
      <c r="E39" s="68"/>
      <c r="F39" s="68"/>
      <c r="G39" s="68"/>
      <c r="H39" s="68"/>
      <c r="I39" s="68"/>
      <c r="J39" s="68"/>
    </row>
  </sheetData>
  <hyperlinks>
    <hyperlink ref="G1" location="'Lisez-moi'!A1" display="Retour au sommaire"/>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N23"/>
  <sheetViews>
    <sheetView zoomScaleNormal="100" workbookViewId="0"/>
  </sheetViews>
  <sheetFormatPr baseColWidth="10" defaultRowHeight="15" x14ac:dyDescent="0.25"/>
  <cols>
    <col min="1" max="1" width="91.42578125" style="71" customWidth="1"/>
    <col min="2" max="16384" width="11.42578125" style="71"/>
  </cols>
  <sheetData>
    <row r="1" spans="1:14" x14ac:dyDescent="0.25">
      <c r="A1" s="4" t="s">
        <v>173</v>
      </c>
      <c r="F1" s="76" t="s">
        <v>111</v>
      </c>
    </row>
    <row r="3" spans="1:14" x14ac:dyDescent="0.25">
      <c r="A3" s="71" t="s">
        <v>181</v>
      </c>
    </row>
    <row r="4" spans="1:14" ht="108.75" x14ac:dyDescent="0.25">
      <c r="B4" s="51" t="s">
        <v>61</v>
      </c>
      <c r="C4" s="47" t="s">
        <v>62</v>
      </c>
      <c r="D4" s="47" t="s">
        <v>63</v>
      </c>
      <c r="E4" s="47" t="s">
        <v>104</v>
      </c>
      <c r="F4" s="47" t="s">
        <v>64</v>
      </c>
      <c r="G4" s="50" t="s">
        <v>65</v>
      </c>
    </row>
    <row r="5" spans="1:14" x14ac:dyDescent="0.25">
      <c r="A5" s="42" t="s">
        <v>0</v>
      </c>
      <c r="B5" s="23">
        <v>63</v>
      </c>
      <c r="C5" s="20">
        <v>16.600000000000001</v>
      </c>
      <c r="D5" s="20">
        <v>6.9</v>
      </c>
      <c r="E5" s="20">
        <v>6.2</v>
      </c>
      <c r="F5" s="66">
        <v>7.1</v>
      </c>
      <c r="G5" s="14">
        <v>0.2</v>
      </c>
      <c r="I5" s="69"/>
      <c r="J5" s="69"/>
      <c r="K5" s="69"/>
      <c r="L5" s="69"/>
      <c r="M5" s="69"/>
      <c r="N5" s="69"/>
    </row>
    <row r="6" spans="1:14" x14ac:dyDescent="0.25">
      <c r="A6" s="6" t="s">
        <v>51</v>
      </c>
      <c r="B6" s="22">
        <v>67.100000000000009</v>
      </c>
      <c r="C6" s="18">
        <v>20.100000000000001</v>
      </c>
      <c r="D6" s="18">
        <v>1.3</v>
      </c>
      <c r="E6" s="18">
        <v>5.3</v>
      </c>
      <c r="F6" s="67">
        <v>6.2</v>
      </c>
      <c r="G6" s="13">
        <v>0</v>
      </c>
      <c r="I6" s="69"/>
      <c r="J6" s="69"/>
      <c r="K6" s="69"/>
      <c r="L6" s="69"/>
      <c r="M6" s="69"/>
      <c r="N6" s="69"/>
    </row>
    <row r="7" spans="1:14" x14ac:dyDescent="0.25">
      <c r="A7" s="6" t="s">
        <v>16</v>
      </c>
      <c r="B7" s="22">
        <v>72.599999999999994</v>
      </c>
      <c r="C7" s="18">
        <v>8.5</v>
      </c>
      <c r="D7" s="18">
        <v>4.5</v>
      </c>
      <c r="E7" s="18">
        <v>7.0000000000000009</v>
      </c>
      <c r="F7" s="67">
        <v>7.3999999999999995</v>
      </c>
      <c r="G7" s="13">
        <v>0</v>
      </c>
      <c r="I7" s="69"/>
      <c r="J7" s="69"/>
      <c r="K7" s="69"/>
      <c r="L7" s="69"/>
      <c r="M7" s="69"/>
      <c r="N7" s="69"/>
    </row>
    <row r="8" spans="1:14" x14ac:dyDescent="0.25">
      <c r="A8" s="6" t="s">
        <v>17</v>
      </c>
      <c r="B8" s="22">
        <v>62.1</v>
      </c>
      <c r="C8" s="18">
        <v>27.1</v>
      </c>
      <c r="D8" s="18">
        <v>0.2</v>
      </c>
      <c r="E8" s="18">
        <v>6.6000000000000005</v>
      </c>
      <c r="F8" s="67">
        <v>4</v>
      </c>
      <c r="G8" s="13">
        <v>0</v>
      </c>
      <c r="I8" s="69"/>
      <c r="J8" s="69"/>
      <c r="K8" s="69"/>
      <c r="L8" s="69"/>
      <c r="M8" s="69"/>
      <c r="N8" s="69"/>
    </row>
    <row r="9" spans="1:14" x14ac:dyDescent="0.25">
      <c r="A9" s="6" t="s">
        <v>18</v>
      </c>
      <c r="B9" s="22">
        <v>58.9</v>
      </c>
      <c r="C9" s="18">
        <v>23.799999999999997</v>
      </c>
      <c r="D9" s="18">
        <v>5.0999999999999996</v>
      </c>
      <c r="E9" s="18">
        <v>6.3</v>
      </c>
      <c r="F9" s="67">
        <v>5.8000000000000007</v>
      </c>
      <c r="G9" s="13">
        <v>0.1</v>
      </c>
      <c r="I9" s="69"/>
      <c r="J9" s="69"/>
      <c r="K9" s="69"/>
      <c r="L9" s="69"/>
      <c r="M9" s="69"/>
      <c r="N9" s="69"/>
    </row>
    <row r="10" spans="1:14" x14ac:dyDescent="0.25">
      <c r="A10" s="6" t="s">
        <v>19</v>
      </c>
      <c r="B10" s="22">
        <v>53.7</v>
      </c>
      <c r="C10" s="18">
        <v>25.3</v>
      </c>
      <c r="D10" s="18">
        <v>9.1999999999999993</v>
      </c>
      <c r="E10" s="18">
        <v>5.4</v>
      </c>
      <c r="F10" s="67">
        <v>6.3</v>
      </c>
      <c r="G10" s="13">
        <v>0.1</v>
      </c>
      <c r="I10" s="69"/>
      <c r="J10" s="69"/>
      <c r="K10" s="69"/>
      <c r="L10" s="69"/>
      <c r="M10" s="69"/>
      <c r="N10" s="69"/>
    </row>
    <row r="11" spans="1:14" x14ac:dyDescent="0.25">
      <c r="A11" s="6" t="s">
        <v>20</v>
      </c>
      <c r="B11" s="22">
        <v>68.8</v>
      </c>
      <c r="C11" s="18">
        <v>11.700000000000001</v>
      </c>
      <c r="D11" s="18">
        <v>6.6000000000000005</v>
      </c>
      <c r="E11" s="18">
        <v>6.6000000000000005</v>
      </c>
      <c r="F11" s="67">
        <v>6.2</v>
      </c>
      <c r="G11" s="13">
        <v>0.1</v>
      </c>
      <c r="I11" s="69"/>
      <c r="J11" s="69"/>
      <c r="K11" s="69"/>
      <c r="L11" s="69"/>
      <c r="M11" s="69"/>
      <c r="N11" s="69"/>
    </row>
    <row r="12" spans="1:14" x14ac:dyDescent="0.25">
      <c r="A12" s="6" t="s">
        <v>21</v>
      </c>
      <c r="B12" s="22">
        <v>83.399999999999991</v>
      </c>
      <c r="C12" s="18">
        <v>5.2</v>
      </c>
      <c r="D12" s="18">
        <v>3.6999999999999997</v>
      </c>
      <c r="E12" s="18">
        <v>4.5999999999999996</v>
      </c>
      <c r="F12" s="67">
        <v>3</v>
      </c>
      <c r="G12" s="13">
        <v>0</v>
      </c>
      <c r="I12" s="69"/>
      <c r="J12" s="69"/>
      <c r="K12" s="69"/>
      <c r="L12" s="69"/>
      <c r="M12" s="69"/>
      <c r="N12" s="69"/>
    </row>
    <row r="13" spans="1:14" x14ac:dyDescent="0.25">
      <c r="A13" s="6" t="s">
        <v>22</v>
      </c>
      <c r="B13" s="22">
        <v>68.7</v>
      </c>
      <c r="C13" s="18">
        <v>11.700000000000001</v>
      </c>
      <c r="D13" s="18">
        <v>5.4</v>
      </c>
      <c r="E13" s="18">
        <v>6.6000000000000005</v>
      </c>
      <c r="F13" s="67">
        <v>7.3</v>
      </c>
      <c r="G13" s="13">
        <v>0.2</v>
      </c>
      <c r="I13" s="69"/>
      <c r="J13" s="69"/>
      <c r="K13" s="69"/>
      <c r="L13" s="69"/>
      <c r="M13" s="69"/>
      <c r="N13" s="69"/>
    </row>
    <row r="14" spans="1:14" x14ac:dyDescent="0.25">
      <c r="A14" s="6" t="s">
        <v>23</v>
      </c>
      <c r="B14" s="22">
        <v>60.3</v>
      </c>
      <c r="C14" s="18">
        <v>14.899999999999999</v>
      </c>
      <c r="D14" s="18">
        <v>9.7000000000000011</v>
      </c>
      <c r="E14" s="18">
        <v>6.3</v>
      </c>
      <c r="F14" s="67">
        <v>8.5</v>
      </c>
      <c r="G14" s="13">
        <v>0.2</v>
      </c>
      <c r="I14" s="69"/>
      <c r="J14" s="69"/>
      <c r="K14" s="69"/>
      <c r="L14" s="69"/>
      <c r="M14" s="69"/>
      <c r="N14" s="69"/>
    </row>
    <row r="15" spans="1:14" x14ac:dyDescent="0.25">
      <c r="A15" s="6" t="s">
        <v>24</v>
      </c>
      <c r="B15" s="22">
        <v>54.900000000000006</v>
      </c>
      <c r="C15" s="18">
        <v>3.2</v>
      </c>
      <c r="D15" s="18">
        <v>27.400000000000002</v>
      </c>
      <c r="E15" s="18">
        <v>5</v>
      </c>
      <c r="F15" s="67">
        <v>8.6999999999999993</v>
      </c>
      <c r="G15" s="13">
        <v>0.89999999999999991</v>
      </c>
      <c r="I15" s="69"/>
      <c r="J15" s="69"/>
      <c r="K15" s="69"/>
      <c r="L15" s="69"/>
      <c r="M15" s="69"/>
      <c r="N15" s="69"/>
    </row>
    <row r="16" spans="1:14" x14ac:dyDescent="0.25">
      <c r="A16" s="6" t="s">
        <v>25</v>
      </c>
      <c r="B16" s="22">
        <v>26.8</v>
      </c>
      <c r="C16" s="18">
        <v>52.1</v>
      </c>
      <c r="D16" s="18">
        <v>5</v>
      </c>
      <c r="E16" s="18">
        <v>5.4</v>
      </c>
      <c r="F16" s="67">
        <v>10.100000000000001</v>
      </c>
      <c r="G16" s="13">
        <v>0.6</v>
      </c>
      <c r="I16" s="69"/>
      <c r="J16" s="69"/>
      <c r="K16" s="69"/>
      <c r="L16" s="69"/>
      <c r="M16" s="69"/>
      <c r="N16" s="69"/>
    </row>
    <row r="17" spans="1:14" x14ac:dyDescent="0.25">
      <c r="A17" s="6" t="s">
        <v>26</v>
      </c>
      <c r="B17" s="22">
        <v>48</v>
      </c>
      <c r="C17" s="18">
        <v>35.5</v>
      </c>
      <c r="D17" s="18">
        <v>1.6</v>
      </c>
      <c r="E17" s="18">
        <v>7.1</v>
      </c>
      <c r="F17" s="67">
        <v>7.7</v>
      </c>
      <c r="G17" s="13">
        <v>0.1</v>
      </c>
      <c r="I17" s="69"/>
      <c r="J17" s="69"/>
      <c r="K17" s="69"/>
      <c r="L17" s="69"/>
      <c r="M17" s="69"/>
      <c r="N17" s="69"/>
    </row>
    <row r="18" spans="1:14" x14ac:dyDescent="0.25">
      <c r="A18" s="6" t="s">
        <v>27</v>
      </c>
      <c r="B18" s="22">
        <v>59.5</v>
      </c>
      <c r="C18" s="18">
        <v>21.9</v>
      </c>
      <c r="D18" s="18">
        <v>4</v>
      </c>
      <c r="E18" s="18">
        <v>6.3</v>
      </c>
      <c r="F18" s="67">
        <v>8.3000000000000007</v>
      </c>
      <c r="G18" s="13">
        <v>0</v>
      </c>
      <c r="I18" s="69"/>
      <c r="J18" s="69"/>
      <c r="K18" s="69"/>
      <c r="L18" s="69"/>
      <c r="M18" s="69"/>
      <c r="N18" s="69"/>
    </row>
    <row r="19" spans="1:14" x14ac:dyDescent="0.25">
      <c r="A19" s="6" t="s">
        <v>28</v>
      </c>
      <c r="B19" s="22">
        <v>56.3</v>
      </c>
      <c r="C19" s="18">
        <v>23.200000000000003</v>
      </c>
      <c r="D19" s="18">
        <v>7.9</v>
      </c>
      <c r="E19" s="18">
        <v>4.9000000000000004</v>
      </c>
      <c r="F19" s="67">
        <v>7.5</v>
      </c>
      <c r="G19" s="13">
        <v>0.2</v>
      </c>
      <c r="I19" s="69"/>
      <c r="J19" s="69"/>
      <c r="K19" s="69"/>
      <c r="L19" s="69"/>
      <c r="M19" s="69"/>
      <c r="N19" s="69"/>
    </row>
    <row r="20" spans="1:14" x14ac:dyDescent="0.25">
      <c r="A20" s="6" t="s">
        <v>29</v>
      </c>
      <c r="B20" s="22">
        <v>73.3</v>
      </c>
      <c r="C20" s="18">
        <v>7.1</v>
      </c>
      <c r="D20" s="18">
        <v>3.8</v>
      </c>
      <c r="E20" s="18">
        <v>8.4</v>
      </c>
      <c r="F20" s="67">
        <v>7.3</v>
      </c>
      <c r="G20" s="13">
        <v>0</v>
      </c>
      <c r="I20" s="69"/>
      <c r="J20" s="69"/>
      <c r="K20" s="69"/>
      <c r="L20" s="69"/>
      <c r="M20" s="69"/>
      <c r="N20" s="69"/>
    </row>
    <row r="21" spans="1:14" x14ac:dyDescent="0.25">
      <c r="A21" s="7" t="s">
        <v>30</v>
      </c>
      <c r="B21" s="23">
        <v>59.3</v>
      </c>
      <c r="C21" s="20">
        <v>17.399999999999999</v>
      </c>
      <c r="D21" s="20">
        <v>14.000000000000002</v>
      </c>
      <c r="E21" s="20">
        <v>4.3999999999999995</v>
      </c>
      <c r="F21" s="66">
        <v>4.8</v>
      </c>
      <c r="G21" s="14">
        <v>0</v>
      </c>
      <c r="I21" s="69"/>
      <c r="J21" s="69"/>
      <c r="K21" s="69"/>
      <c r="L21" s="69"/>
      <c r="M21" s="69"/>
      <c r="N21" s="69"/>
    </row>
    <row r="22" spans="1:14" x14ac:dyDescent="0.25">
      <c r="A22" s="8" t="s">
        <v>116</v>
      </c>
    </row>
    <row r="23" spans="1:14" x14ac:dyDescent="0.25">
      <c r="A23" s="8" t="s">
        <v>7</v>
      </c>
    </row>
  </sheetData>
  <hyperlinks>
    <hyperlink ref="F1" location="'Lisez-moi'!A1" display="Retour au sommair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P12"/>
  <sheetViews>
    <sheetView workbookViewId="0">
      <selection activeCell="A3" sqref="A3"/>
    </sheetView>
  </sheetViews>
  <sheetFormatPr baseColWidth="10" defaultRowHeight="15" x14ac:dyDescent="0.25"/>
  <cols>
    <col min="1" max="1" width="90.42578125" style="71" customWidth="1"/>
    <col min="2" max="16384" width="11.42578125" style="71"/>
  </cols>
  <sheetData>
    <row r="1" spans="1:16" x14ac:dyDescent="0.25">
      <c r="A1" s="4" t="s">
        <v>114</v>
      </c>
      <c r="G1" s="76" t="s">
        <v>111</v>
      </c>
    </row>
    <row r="3" spans="1:16" x14ac:dyDescent="0.25">
      <c r="A3" s="71" t="s">
        <v>118</v>
      </c>
    </row>
    <row r="4" spans="1:16" x14ac:dyDescent="0.25">
      <c r="B4" s="33" t="s">
        <v>0</v>
      </c>
      <c r="C4" s="34" t="s">
        <v>8</v>
      </c>
      <c r="D4" s="31" t="s">
        <v>9</v>
      </c>
      <c r="E4" s="31" t="s">
        <v>10</v>
      </c>
      <c r="F4" s="31" t="s">
        <v>11</v>
      </c>
      <c r="G4" s="31" t="s">
        <v>12</v>
      </c>
      <c r="H4" s="32" t="s">
        <v>13</v>
      </c>
    </row>
    <row r="5" spans="1:16" x14ac:dyDescent="0.25">
      <c r="A5" s="5" t="s">
        <v>1</v>
      </c>
      <c r="B5" s="36">
        <f>HLOOKUP("q2mod1",[1]data_rep!$1:$1048576,VLOOKUP("EnsEns",[1]data_rep!$A$1:$B$200,2,FALSE),FALSE)</f>
        <v>1.4000000000000001</v>
      </c>
      <c r="C5" s="18">
        <f>HLOOKUP("q2mod1",[1]data_rep!$1:$1048576,VLOOKUP("1Ens",[1]data_rep!$A$1:$B$200,2,FALSE),FALSE)</f>
        <v>3</v>
      </c>
      <c r="D5" s="18">
        <f>HLOOKUP("q2mod1",[1]data_rep!$1:$1048576,VLOOKUP("2Ens",[1]data_rep!$A$1:$B$200,2,FALSE),FALSE)</f>
        <v>2.1</v>
      </c>
      <c r="E5" s="18">
        <f>HLOOKUP("q2mod1",[1]data_rep!$1:$1048576,VLOOKUP("3Ens",[1]data_rep!$A$1:$B$200,2,FALSE),FALSE)</f>
        <v>1.7000000000000002</v>
      </c>
      <c r="F5" s="18">
        <f>HLOOKUP("q2mod1",[1]data_rep!$1:$1048576,VLOOKUP("4Ens",[1]data_rep!$A$1:$B$200,2,FALSE),FALSE)</f>
        <v>1.7999999999999998</v>
      </c>
      <c r="G5" s="18">
        <f>HLOOKUP("q2mod1",[1]data_rep!$1:$1048576,VLOOKUP("5Ens",[1]data_rep!$A$1:$B$200,2,FALSE),FALSE)</f>
        <v>1.2</v>
      </c>
      <c r="H5" s="13">
        <f>HLOOKUP("q2mod1",[1]data_rep!$1:$1048576,VLOOKUP("6Ens",[1]data_rep!$A$1:$B$200,2,FALSE),FALSE)</f>
        <v>0.5</v>
      </c>
      <c r="J5" s="69"/>
      <c r="K5" s="69"/>
      <c r="L5" s="69"/>
      <c r="M5" s="69"/>
      <c r="N5" s="69"/>
      <c r="O5" s="69"/>
      <c r="P5" s="69"/>
    </row>
    <row r="6" spans="1:16" x14ac:dyDescent="0.25">
      <c r="A6" s="6" t="s">
        <v>2</v>
      </c>
      <c r="B6" s="36">
        <f>HLOOKUP("q2mod2",[1]data_rep!$1:$1048576,VLOOKUP("EnsEns",[1]data_rep!$A$1:$B$200,2,FALSE),FALSE)</f>
        <v>11.4</v>
      </c>
      <c r="C6" s="18">
        <f>HLOOKUP("q2mod2",[1]data_rep!$1:$1048576,VLOOKUP("1Ens",[1]data_rep!$A$1:$B$200,2,FALSE),FALSE)</f>
        <v>14.299999999999999</v>
      </c>
      <c r="D6" s="18">
        <f>HLOOKUP("q2mod2",[1]data_rep!$1:$1048576,VLOOKUP("2Ens",[1]data_rep!$A$1:$B$200,2,FALSE),FALSE)</f>
        <v>11.700000000000001</v>
      </c>
      <c r="E6" s="18">
        <f>HLOOKUP("q2mod2",[1]data_rep!$1:$1048576,VLOOKUP("3Ens",[1]data_rep!$A$1:$B$200,2,FALSE),FALSE)</f>
        <v>9.9</v>
      </c>
      <c r="F6" s="18">
        <f>HLOOKUP("q2mod2",[1]data_rep!$1:$1048576,VLOOKUP("4Ens",[1]data_rep!$A$1:$B$200,2,FALSE),FALSE)</f>
        <v>8.3000000000000007</v>
      </c>
      <c r="G6" s="18">
        <f>HLOOKUP("q2mod2",[1]data_rep!$1:$1048576,VLOOKUP("5Ens",[1]data_rep!$A$1:$B$200,2,FALSE),FALSE)</f>
        <v>9.9</v>
      </c>
      <c r="H6" s="13">
        <f>HLOOKUP("q2mod2",[1]data_rep!$1:$1048576,VLOOKUP("6Ens",[1]data_rep!$A$1:$B$200,2,FALSE),FALSE)</f>
        <v>12.3</v>
      </c>
      <c r="J6" s="69"/>
      <c r="K6" s="69"/>
      <c r="L6" s="69"/>
      <c r="M6" s="69"/>
      <c r="N6" s="69"/>
      <c r="O6" s="69"/>
      <c r="P6" s="69"/>
    </row>
    <row r="7" spans="1:16" x14ac:dyDescent="0.25">
      <c r="A7" s="6" t="s">
        <v>3</v>
      </c>
      <c r="B7" s="36">
        <f>HLOOKUP("q2mod3",[1]data_rep!$1:$1048576,VLOOKUP("EnsEns",[1]data_rep!$A$1:$B$200,2,FALSE),FALSE)</f>
        <v>38.5</v>
      </c>
      <c r="C7" s="18">
        <f>HLOOKUP("q2mod3",[1]data_rep!$1:$1048576,VLOOKUP("1Ens",[1]data_rep!$A$1:$B$200,2,FALSE),FALSE)</f>
        <v>29.299999999999997</v>
      </c>
      <c r="D7" s="18">
        <f>HLOOKUP("q2mod3",[1]data_rep!$1:$1048576,VLOOKUP("2Ens",[1]data_rep!$A$1:$B$200,2,FALSE),FALSE)</f>
        <v>32.9</v>
      </c>
      <c r="E7" s="18">
        <f>HLOOKUP("q2mod3",[1]data_rep!$1:$1048576,VLOOKUP("3Ens",[1]data_rep!$A$1:$B$200,2,FALSE),FALSE)</f>
        <v>32.9</v>
      </c>
      <c r="F7" s="18">
        <f>HLOOKUP("q2mod3",[1]data_rep!$1:$1048576,VLOOKUP("4Ens",[1]data_rep!$A$1:$B$200,2,FALSE),FALSE)</f>
        <v>36.799999999999997</v>
      </c>
      <c r="G7" s="18">
        <f>HLOOKUP("q2mod3",[1]data_rep!$1:$1048576,VLOOKUP("5Ens",[1]data_rep!$A$1:$B$200,2,FALSE),FALSE)</f>
        <v>36.700000000000003</v>
      </c>
      <c r="H7" s="13">
        <f>HLOOKUP("q2mod3",[1]data_rep!$1:$1048576,VLOOKUP("6Ens",[1]data_rep!$A$1:$B$200,2,FALSE),FALSE)</f>
        <v>45.7</v>
      </c>
      <c r="J7" s="69"/>
      <c r="K7" s="69"/>
      <c r="L7" s="69"/>
      <c r="M7" s="69"/>
      <c r="N7" s="69"/>
      <c r="O7" s="69"/>
      <c r="P7" s="69"/>
    </row>
    <row r="8" spans="1:16" x14ac:dyDescent="0.25">
      <c r="A8" s="6" t="s">
        <v>4</v>
      </c>
      <c r="B8" s="36">
        <f>HLOOKUP("q2mod4",[1]data_rep!$1:$1048576,VLOOKUP("EnsEns",[1]data_rep!$A$1:$B$200,2,FALSE),FALSE)</f>
        <v>37.1</v>
      </c>
      <c r="C8" s="18">
        <f>HLOOKUP("q2mod4",[1]data_rep!$1:$1048576,VLOOKUP("1Ens",[1]data_rep!$A$1:$B$200,2,FALSE),FALSE)</f>
        <v>42.699999999999996</v>
      </c>
      <c r="D8" s="18">
        <f>HLOOKUP("q2mod4",[1]data_rep!$1:$1048576,VLOOKUP("2Ens",[1]data_rep!$A$1:$B$200,2,FALSE),FALSE)</f>
        <v>41.6</v>
      </c>
      <c r="E8" s="18">
        <f>HLOOKUP("q2mod4",[1]data_rep!$1:$1048576,VLOOKUP("3Ens",[1]data_rep!$A$1:$B$200,2,FALSE),FALSE)</f>
        <v>44.9</v>
      </c>
      <c r="F8" s="18">
        <f>HLOOKUP("q2mod4",[1]data_rep!$1:$1048576,VLOOKUP("4Ens",[1]data_rep!$A$1:$B$200,2,FALSE),FALSE)</f>
        <v>41.5</v>
      </c>
      <c r="G8" s="18">
        <f>HLOOKUP("q2mod4",[1]data_rep!$1:$1048576,VLOOKUP("5Ens",[1]data_rep!$A$1:$B$200,2,FALSE),FALSE)</f>
        <v>42</v>
      </c>
      <c r="H8" s="13">
        <f>HLOOKUP("q2mod4",[1]data_rep!$1:$1048576,VLOOKUP("6Ens",[1]data_rep!$A$1:$B$200,2,FALSE),FALSE)</f>
        <v>29.099999999999998</v>
      </c>
      <c r="J8" s="69"/>
      <c r="K8" s="69"/>
      <c r="L8" s="69"/>
      <c r="M8" s="69"/>
      <c r="N8" s="69"/>
      <c r="O8" s="69"/>
      <c r="P8" s="69"/>
    </row>
    <row r="9" spans="1:16" x14ac:dyDescent="0.25">
      <c r="A9" s="7" t="s">
        <v>5</v>
      </c>
      <c r="B9" s="37">
        <f>HLOOKUP("q2mod5",[1]data_rep!$1:$1048576,VLOOKUP("EnsEns",[1]data_rep!$A$1:$B$200,2,FALSE),FALSE)</f>
        <v>11.600000000000001</v>
      </c>
      <c r="C9" s="20">
        <f>HLOOKUP("q2mod5",[1]data_rep!$1:$1048576,VLOOKUP("1Ens",[1]data_rep!$A$1:$B$200,2,FALSE),FALSE)</f>
        <v>10.6</v>
      </c>
      <c r="D9" s="20">
        <f>HLOOKUP("q2mod5",[1]data_rep!$1:$1048576,VLOOKUP("2Ens",[1]data_rep!$A$1:$B$200,2,FALSE),FALSE)</f>
        <v>11.700000000000001</v>
      </c>
      <c r="E9" s="20">
        <f>HLOOKUP("q2mod5",[1]data_rep!$1:$1048576,VLOOKUP("3Ens",[1]data_rep!$A$1:$B$200,2,FALSE),FALSE)</f>
        <v>10.7</v>
      </c>
      <c r="F9" s="20">
        <f>HLOOKUP("q2mod5",[1]data_rep!$1:$1048576,VLOOKUP("4Ens",[1]data_rep!$A$1:$B$200,2,FALSE),FALSE)</f>
        <v>11.600000000000001</v>
      </c>
      <c r="G9" s="20">
        <f>HLOOKUP("q2mod5",[1]data_rep!$1:$1048576,VLOOKUP("5Ens",[1]data_rep!$A$1:$B$200,2,FALSE),FALSE)</f>
        <v>10.199999999999999</v>
      </c>
      <c r="H9" s="14">
        <f>HLOOKUP("q2mod5",[1]data_rep!$1:$1048576,VLOOKUP("6Ens",[1]data_rep!$A$1:$B$200,2,FALSE),FALSE)</f>
        <v>12.4</v>
      </c>
      <c r="J9" s="69"/>
      <c r="K9" s="69"/>
      <c r="L9" s="69"/>
      <c r="M9" s="69"/>
      <c r="N9" s="69"/>
      <c r="O9" s="69"/>
      <c r="P9" s="69"/>
    </row>
    <row r="10" spans="1:16" x14ac:dyDescent="0.25">
      <c r="A10" s="8" t="s">
        <v>116</v>
      </c>
    </row>
    <row r="11" spans="1:16" x14ac:dyDescent="0.25">
      <c r="A11" s="8" t="s">
        <v>7</v>
      </c>
    </row>
    <row r="12" spans="1:16" x14ac:dyDescent="0.25">
      <c r="A12" s="63"/>
    </row>
  </sheetData>
  <hyperlinks>
    <hyperlink ref="G1" location="'Lisez-moi'!A1" display="Retour au sommair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G20" sqref="G20"/>
    </sheetView>
  </sheetViews>
  <sheetFormatPr baseColWidth="10" defaultRowHeight="15" x14ac:dyDescent="0.25"/>
  <cols>
    <col min="1" max="1" width="96.7109375" customWidth="1"/>
  </cols>
  <sheetData>
    <row r="1" spans="1:6" x14ac:dyDescent="0.25">
      <c r="A1" s="4" t="s">
        <v>182</v>
      </c>
      <c r="F1" s="76" t="s">
        <v>111</v>
      </c>
    </row>
    <row r="3" spans="1:6" x14ac:dyDescent="0.25">
      <c r="A3" s="71" t="s">
        <v>191</v>
      </c>
      <c r="B3" s="71"/>
    </row>
    <row r="4" spans="1:6" x14ac:dyDescent="0.25">
      <c r="A4" s="71"/>
      <c r="B4" s="71"/>
    </row>
    <row r="5" spans="1:6" x14ac:dyDescent="0.25">
      <c r="A5" s="87" t="s">
        <v>190</v>
      </c>
      <c r="B5" s="102">
        <f>HLOOKUP("q16mod8",[1]data_rep!$1:$1048576,VLOOKUP("EnsEns",[1]data_rep!$A$1:$B$200,2,FALSE),FALSE)</f>
        <v>63.1</v>
      </c>
    </row>
    <row r="6" spans="1:6" x14ac:dyDescent="0.25">
      <c r="A6" s="88" t="s">
        <v>183</v>
      </c>
      <c r="B6" s="103">
        <f>HLOOKUP("q16mod1",[1]data_rep!$1:$1048576,VLOOKUP("EnsEns",[1]data_rep!$A$1:$B$200,2,FALSE),FALSE)</f>
        <v>17.100000000000001</v>
      </c>
    </row>
    <row r="7" spans="1:6" x14ac:dyDescent="0.25">
      <c r="A7" s="88" t="s">
        <v>188</v>
      </c>
      <c r="B7" s="13">
        <f>HLOOKUP("q16mod6",[1]data_rep!$1:$1048576,VLOOKUP("EnsEns",[1]data_rep!$A$1:$B$200,2,FALSE),FALSE)</f>
        <v>16.2</v>
      </c>
    </row>
    <row r="8" spans="1:6" x14ac:dyDescent="0.25">
      <c r="A8" s="88" t="s">
        <v>184</v>
      </c>
      <c r="B8" s="89">
        <f>HLOOKUP("q16mod2",[1]data_rep!$1:$1048576,VLOOKUP("EnsEns",[1]data_rep!$A$1:$B$200,2,FALSE),FALSE)</f>
        <v>11</v>
      </c>
    </row>
    <row r="9" spans="1:6" x14ac:dyDescent="0.25">
      <c r="A9" s="88" t="s">
        <v>189</v>
      </c>
      <c r="B9" s="13">
        <f>HLOOKUP("q16mod7",[1]data_rep!$1:$1048576,VLOOKUP("EnsEns",[1]data_rep!$A$1:$B$200,2,FALSE),FALSE)</f>
        <v>8.9</v>
      </c>
    </row>
    <row r="10" spans="1:6" x14ac:dyDescent="0.25">
      <c r="A10" s="88" t="s">
        <v>186</v>
      </c>
      <c r="B10" s="13">
        <f>HLOOKUP("q16mod4",[1]data_rep!$1:$1048576,VLOOKUP("EnsEns",[1]data_rep!$A$1:$B$200,2,FALSE),FALSE)</f>
        <v>1.7999999999999998</v>
      </c>
    </row>
    <row r="11" spans="1:6" x14ac:dyDescent="0.25">
      <c r="A11" s="88" t="s">
        <v>185</v>
      </c>
      <c r="B11" s="13">
        <f>HLOOKUP("q16mod3",[1]data_rep!$1:$1048576,VLOOKUP("EnsEns",[1]data_rep!$A$1:$B$200,2,FALSE),FALSE)</f>
        <v>1.2</v>
      </c>
    </row>
    <row r="12" spans="1:6" x14ac:dyDescent="0.25">
      <c r="A12" s="90" t="s">
        <v>187</v>
      </c>
      <c r="B12" s="104">
        <f>HLOOKUP("q16mod5",[1]data_rep!$1:$1048576,VLOOKUP("EnsEns",[1]data_rep!$A$1:$B$200,2,FALSE),FALSE)</f>
        <v>0.5</v>
      </c>
    </row>
    <row r="13" spans="1:6" x14ac:dyDescent="0.25">
      <c r="A13" s="8" t="s">
        <v>116</v>
      </c>
      <c r="B13" s="71"/>
    </row>
    <row r="14" spans="1:6" x14ac:dyDescent="0.25">
      <c r="A14" s="8" t="s">
        <v>7</v>
      </c>
      <c r="B14" s="71"/>
    </row>
  </sheetData>
  <sortState ref="A5:B14">
    <sortCondition descending="1" ref="B5"/>
  </sortState>
  <hyperlinks>
    <hyperlink ref="F1" location="'Lisez-moi'!A1" display="Retour au sommaire"/>
  </hyperlinks>
  <pageMargins left="0.7" right="0.7" top="0.75" bottom="0.75" header="0.3" footer="0.3"/>
  <pageSetup paperSize="9" orientation="portrait" horizontalDpi="90" verticalDpi="9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opLeftCell="A10" workbookViewId="0">
      <selection activeCell="I24" sqref="I24"/>
    </sheetView>
  </sheetViews>
  <sheetFormatPr baseColWidth="10" defaultRowHeight="15" x14ac:dyDescent="0.25"/>
  <cols>
    <col min="1" max="1" width="93.5703125" customWidth="1"/>
  </cols>
  <sheetData>
    <row r="1" spans="1:8" s="71" customFormat="1" x14ac:dyDescent="0.25">
      <c r="A1" s="4" t="s">
        <v>182</v>
      </c>
      <c r="F1" s="76" t="s">
        <v>111</v>
      </c>
    </row>
    <row r="3" spans="1:8" x14ac:dyDescent="0.25">
      <c r="A3" s="71" t="s">
        <v>192</v>
      </c>
      <c r="B3" s="71"/>
      <c r="C3" s="71"/>
      <c r="D3" s="71"/>
      <c r="E3" s="71"/>
      <c r="F3" s="71"/>
      <c r="G3" s="71"/>
      <c r="H3" s="71"/>
    </row>
    <row r="4" spans="1:8" x14ac:dyDescent="0.25">
      <c r="A4" s="71"/>
      <c r="B4" s="33" t="s">
        <v>44</v>
      </c>
      <c r="C4" s="34" t="s">
        <v>8</v>
      </c>
      <c r="D4" s="31" t="s">
        <v>9</v>
      </c>
      <c r="E4" s="31" t="s">
        <v>10</v>
      </c>
      <c r="F4" s="31" t="s">
        <v>11</v>
      </c>
      <c r="G4" s="31" t="s">
        <v>12</v>
      </c>
      <c r="H4" s="32" t="s">
        <v>13</v>
      </c>
    </row>
    <row r="5" spans="1:8" x14ac:dyDescent="0.25">
      <c r="A5" s="87" t="s">
        <v>183</v>
      </c>
      <c r="B5" s="35">
        <f>HLOOKUP("q16mod1",[1]data_rep!$1:$1048576,VLOOKUP("EnsEns",[1]data_rep!$A$1:$B$200,2,FALSE),FALSE)</f>
        <v>17.100000000000001</v>
      </c>
      <c r="C5" s="22">
        <f>HLOOKUP("q16mod1",[1]data_rep!$1:$1048576,VLOOKUP("1Ens",[1]data_rep!$A$1:$B$200,2,FALSE),FALSE)</f>
        <v>11.899999999999999</v>
      </c>
      <c r="D5" s="18">
        <f>HLOOKUP("q16mod1",[1]data_rep!$1:$1048576,VLOOKUP("2Ens",[1]data_rep!$A$1:$B$200,2,FALSE),FALSE)</f>
        <v>15.299999999999999</v>
      </c>
      <c r="E5" s="18">
        <f>HLOOKUP("q16mod1",[1]data_rep!$1:$1048576,VLOOKUP("3Ens",[1]data_rep!$A$1:$B$200,2,FALSE),FALSE)</f>
        <v>17.299999999999997</v>
      </c>
      <c r="F5" s="18">
        <f>HLOOKUP("q16mod1",[1]data_rep!$1:$1048576,VLOOKUP("4Ens",[1]data_rep!$A$1:$B$200,2,FALSE),FALSE)</f>
        <v>19.2</v>
      </c>
      <c r="G5" s="18">
        <f>HLOOKUP("q16mod1",[1]data_rep!$1:$1048576,VLOOKUP("5Ens",[1]data_rep!$A$1:$B$200,2,FALSE),FALSE)</f>
        <v>19.2</v>
      </c>
      <c r="H5" s="13">
        <f>HLOOKUP("q16mod1",[1]data_rep!$1:$1048576,VLOOKUP("6Ens",[1]data_rep!$A$1:$B$200,2,FALSE),FALSE)</f>
        <v>18</v>
      </c>
    </row>
    <row r="6" spans="1:8" x14ac:dyDescent="0.25">
      <c r="A6" s="88" t="s">
        <v>184</v>
      </c>
      <c r="B6" s="36">
        <f>HLOOKUP("q16mod2",[1]data_rep!$1:$1048576,VLOOKUP("EnsEns",[1]data_rep!$A$1:$B$200,2,FALSE),FALSE)</f>
        <v>11</v>
      </c>
      <c r="C6" s="22">
        <f>HLOOKUP("q16mod2",[1]data_rep!$1:$1048576,VLOOKUP("1Ens",[1]data_rep!$A$1:$B$200,2,FALSE),FALSE)</f>
        <v>5.4</v>
      </c>
      <c r="D6" s="18">
        <f>HLOOKUP("q16mod2",[1]data_rep!$1:$1048576,VLOOKUP("2Ens",[1]data_rep!$A$1:$B$200,2,FALSE),FALSE)</f>
        <v>8.5</v>
      </c>
      <c r="E6" s="18">
        <f>HLOOKUP("q16mod2",[1]data_rep!$1:$1048576,VLOOKUP("3Ens",[1]data_rep!$A$1:$B$200,2,FALSE),FALSE)</f>
        <v>8.6</v>
      </c>
      <c r="F6" s="18">
        <f>HLOOKUP("q16mod2",[1]data_rep!$1:$1048576,VLOOKUP("4Ens",[1]data_rep!$A$1:$B$200,2,FALSE),FALSE)</f>
        <v>13.3</v>
      </c>
      <c r="G6" s="18">
        <f>HLOOKUP("q16mod2",[1]data_rep!$1:$1048576,VLOOKUP("5Ens",[1]data_rep!$A$1:$B$200,2,FALSE),FALSE)</f>
        <v>13</v>
      </c>
      <c r="H6" s="13">
        <f>HLOOKUP("q16mod2",[1]data_rep!$1:$1048576,VLOOKUP("6Ens",[1]data_rep!$A$1:$B$200,2,FALSE),FALSE)</f>
        <v>12.9</v>
      </c>
    </row>
    <row r="7" spans="1:8" x14ac:dyDescent="0.25">
      <c r="A7" s="88" t="s">
        <v>185</v>
      </c>
      <c r="B7" s="36">
        <f>HLOOKUP("q16mod3",[1]data_rep!$1:$1048576,VLOOKUP("EnsEns",[1]data_rep!$A$1:$B$200,2,FALSE),FALSE)</f>
        <v>1.2</v>
      </c>
      <c r="C7" s="22">
        <f>HLOOKUP("q16mod3",[1]data_rep!$1:$1048576,VLOOKUP("1Ens",[1]data_rep!$A$1:$B$200,2,FALSE),FALSE)</f>
        <v>0.8</v>
      </c>
      <c r="D7" s="18">
        <f>HLOOKUP("q16mod3",[1]data_rep!$1:$1048576,VLOOKUP("2Ens",[1]data_rep!$A$1:$B$200,2,FALSE),FALSE)</f>
        <v>0.8</v>
      </c>
      <c r="E7" s="18">
        <f>HLOOKUP("q16mod3",[1]data_rep!$1:$1048576,VLOOKUP("3Ens",[1]data_rep!$A$1:$B$200,2,FALSE),FALSE)</f>
        <v>0.70000000000000007</v>
      </c>
      <c r="F7" s="18">
        <f>HLOOKUP("q16mod3",[1]data_rep!$1:$1048576,VLOOKUP("4Ens",[1]data_rep!$A$1:$B$200,2,FALSE),FALSE)</f>
        <v>1.9</v>
      </c>
      <c r="G7" s="18">
        <f>HLOOKUP("q16mod3",[1]data_rep!$1:$1048576,VLOOKUP("5Ens",[1]data_rep!$A$1:$B$200,2,FALSE),FALSE)</f>
        <v>1.3</v>
      </c>
      <c r="H7" s="13">
        <f>HLOOKUP("q16mod3",[1]data_rep!$1:$1048576,VLOOKUP("6Ens",[1]data_rep!$A$1:$B$200,2,FALSE),FALSE)</f>
        <v>1.3</v>
      </c>
    </row>
    <row r="8" spans="1:8" x14ac:dyDescent="0.25">
      <c r="A8" s="88" t="s">
        <v>186</v>
      </c>
      <c r="B8" s="36">
        <f>HLOOKUP("q16mod4",[1]data_rep!$1:$1048576,VLOOKUP("EnsEns",[1]data_rep!$A$1:$B$200,2,FALSE),FALSE)</f>
        <v>1.7999999999999998</v>
      </c>
      <c r="C8" s="22">
        <f>HLOOKUP("q16mod4",[1]data_rep!$1:$1048576,VLOOKUP("1Ens",[1]data_rep!$A$1:$B$200,2,FALSE),FALSE)</f>
        <v>1.9</v>
      </c>
      <c r="D8" s="18">
        <f>HLOOKUP("q16mod4",[1]data_rep!$1:$1048576,VLOOKUP("2Ens",[1]data_rep!$A$1:$B$200,2,FALSE),FALSE)</f>
        <v>2.1</v>
      </c>
      <c r="E8" s="18">
        <f>HLOOKUP("q16mod4",[1]data_rep!$1:$1048576,VLOOKUP("3Ens",[1]data_rep!$A$1:$B$200,2,FALSE),FALSE)</f>
        <v>2</v>
      </c>
      <c r="F8" s="18">
        <f>HLOOKUP("q16mod4",[1]data_rep!$1:$1048576,VLOOKUP("4Ens",[1]data_rep!$A$1:$B$200,2,FALSE),FALSE)</f>
        <v>2.1</v>
      </c>
      <c r="G8" s="18">
        <f>HLOOKUP("q16mod4",[1]data_rep!$1:$1048576,VLOOKUP("5Ens",[1]data_rep!$A$1:$B$200,2,FALSE),FALSE)</f>
        <v>1.0999999999999999</v>
      </c>
      <c r="H8" s="13">
        <f>HLOOKUP("q16mod4",[1]data_rep!$1:$1048576,VLOOKUP("6Ens",[1]data_rep!$A$1:$B$200,2,FALSE),FALSE)</f>
        <v>1.7000000000000002</v>
      </c>
    </row>
    <row r="9" spans="1:8" x14ac:dyDescent="0.25">
      <c r="A9" s="88" t="s">
        <v>187</v>
      </c>
      <c r="B9" s="36">
        <f>HLOOKUP("q16mod5",[1]data_rep!$1:$1048576,VLOOKUP("EnsEns",[1]data_rep!$A$1:$B$200,2,FALSE),FALSE)</f>
        <v>0.5</v>
      </c>
      <c r="C9" s="22">
        <f>HLOOKUP("q16mod5",[1]data_rep!$1:$1048576,VLOOKUP("1Ens",[1]data_rep!$A$1:$B$200,2,FALSE),FALSE)</f>
        <v>0.3</v>
      </c>
      <c r="D9" s="18">
        <f>HLOOKUP("q16mod5",[1]data_rep!$1:$1048576,VLOOKUP("2Ens",[1]data_rep!$A$1:$B$200,2,FALSE),FALSE)</f>
        <v>0.1</v>
      </c>
      <c r="E9" s="18">
        <f>HLOOKUP("q16mod5",[1]data_rep!$1:$1048576,VLOOKUP("3Ens",[1]data_rep!$A$1:$B$200,2,FALSE),FALSE)</f>
        <v>0.4</v>
      </c>
      <c r="F9" s="18">
        <f>HLOOKUP("q16mod5",[1]data_rep!$1:$1048576,VLOOKUP("4Ens",[1]data_rep!$A$1:$B$200,2,FALSE),FALSE)</f>
        <v>0.70000000000000007</v>
      </c>
      <c r="G9" s="18">
        <f>HLOOKUP("q16mod5",[1]data_rep!$1:$1048576,VLOOKUP("5Ens",[1]data_rep!$A$1:$B$200,2,FALSE),FALSE)</f>
        <v>0.6</v>
      </c>
      <c r="H9" s="13">
        <f>HLOOKUP("q16mod5",[1]data_rep!$1:$1048576,VLOOKUP("6Ens",[1]data_rep!$A$1:$B$200,2,FALSE),FALSE)</f>
        <v>0.6</v>
      </c>
    </row>
    <row r="10" spans="1:8" x14ac:dyDescent="0.25">
      <c r="A10" s="88" t="s">
        <v>188</v>
      </c>
      <c r="B10" s="36">
        <f>HLOOKUP("q16mod6",[1]data_rep!$1:$1048576,VLOOKUP("EnsEns",[1]data_rep!$A$1:$B$200,2,FALSE),FALSE)</f>
        <v>16.2</v>
      </c>
      <c r="C10" s="22">
        <f>HLOOKUP("q16mod6",[1]data_rep!$1:$1048576,VLOOKUP("1Ens",[1]data_rep!$A$1:$B$200,2,FALSE),FALSE)</f>
        <v>17.399999999999999</v>
      </c>
      <c r="D10" s="18">
        <f>HLOOKUP("q16mod6",[1]data_rep!$1:$1048576,VLOOKUP("2Ens",[1]data_rep!$A$1:$B$200,2,FALSE),FALSE)</f>
        <v>18.399999999999999</v>
      </c>
      <c r="E10" s="18">
        <f>HLOOKUP("q16mod6",[1]data_rep!$1:$1048576,VLOOKUP("3Ens",[1]data_rep!$A$1:$B$200,2,FALSE),FALSE)</f>
        <v>17.399999999999999</v>
      </c>
      <c r="F10" s="18">
        <f>HLOOKUP("q16mod6",[1]data_rep!$1:$1048576,VLOOKUP("4Ens",[1]data_rep!$A$1:$B$200,2,FALSE),FALSE)</f>
        <v>17.599999999999998</v>
      </c>
      <c r="G10" s="18">
        <f>HLOOKUP("q16mod6",[1]data_rep!$1:$1048576,VLOOKUP("5Ens",[1]data_rep!$A$1:$B$200,2,FALSE),FALSE)</f>
        <v>13.8</v>
      </c>
      <c r="H10" s="13">
        <f>HLOOKUP("q16mod6",[1]data_rep!$1:$1048576,VLOOKUP("6Ens",[1]data_rep!$A$1:$B$200,2,FALSE),FALSE)</f>
        <v>14.7</v>
      </c>
    </row>
    <row r="11" spans="1:8" x14ac:dyDescent="0.25">
      <c r="A11" s="88" t="s">
        <v>189</v>
      </c>
      <c r="B11" s="36">
        <f>HLOOKUP("q16mod7",[1]data_rep!$1:$1048576,VLOOKUP("EnsEns",[1]data_rep!$A$1:$B$200,2,FALSE),FALSE)</f>
        <v>8.9</v>
      </c>
      <c r="C11" s="22">
        <f>HLOOKUP("q16mod7",[1]data_rep!$1:$1048576,VLOOKUP("1Ens",[1]data_rep!$A$1:$B$200,2,FALSE),FALSE)</f>
        <v>9.5</v>
      </c>
      <c r="D11" s="18">
        <f>HLOOKUP("q16mod7",[1]data_rep!$1:$1048576,VLOOKUP("2Ens",[1]data_rep!$A$1:$B$200,2,FALSE),FALSE)</f>
        <v>8.6999999999999993</v>
      </c>
      <c r="E11" s="18">
        <f>HLOOKUP("q16mod7",[1]data_rep!$1:$1048576,VLOOKUP("3Ens",[1]data_rep!$A$1:$B$200,2,FALSE),FALSE)</f>
        <v>9.4</v>
      </c>
      <c r="F11" s="18">
        <f>HLOOKUP("q16mod7",[1]data_rep!$1:$1048576,VLOOKUP("4Ens",[1]data_rep!$A$1:$B$200,2,FALSE),FALSE)</f>
        <v>8.9</v>
      </c>
      <c r="G11" s="18">
        <f>HLOOKUP("q16mod7",[1]data_rep!$1:$1048576,VLOOKUP("5Ens",[1]data_rep!$A$1:$B$200,2,FALSE),FALSE)</f>
        <v>7.3999999999999995</v>
      </c>
      <c r="H11" s="13">
        <f>HLOOKUP("q16mod7",[1]data_rep!$1:$1048576,VLOOKUP("6Ens",[1]data_rep!$A$1:$B$200,2,FALSE),FALSE)</f>
        <v>9.1</v>
      </c>
    </row>
    <row r="12" spans="1:8" x14ac:dyDescent="0.25">
      <c r="A12" s="90" t="s">
        <v>190</v>
      </c>
      <c r="B12" s="37">
        <f>HLOOKUP("q16mod8",[1]data_rep!$1:$1048576,VLOOKUP("EnsEns",[1]data_rep!$A$1:$B$200,2,FALSE),FALSE)</f>
        <v>63.1</v>
      </c>
      <c r="C12" s="23">
        <f>HLOOKUP("q16mod8",[1]data_rep!$1:$1048576,VLOOKUP("1Ens",[1]data_rep!$A$1:$B$200,2,FALSE),FALSE)</f>
        <v>69.199999999999989</v>
      </c>
      <c r="D12" s="20">
        <f>HLOOKUP("q16mod8",[1]data_rep!$1:$1048576,VLOOKUP("2Ens",[1]data_rep!$A$1:$B$200,2,FALSE),FALSE)</f>
        <v>64.2</v>
      </c>
      <c r="E12" s="20">
        <f>HLOOKUP("q16mod8",[1]data_rep!$1:$1048576,VLOOKUP("3Ens",[1]data_rep!$A$1:$B$200,2,FALSE),FALSE)</f>
        <v>63.5</v>
      </c>
      <c r="F12" s="20">
        <f>HLOOKUP("q16mod8",[1]data_rep!$1:$1048576,VLOOKUP("4Ens",[1]data_rep!$A$1:$B$200,2,FALSE),FALSE)</f>
        <v>58.099999999999994</v>
      </c>
      <c r="G12" s="20">
        <f>HLOOKUP("q16mod8",[1]data_rep!$1:$1048576,VLOOKUP("5Ens",[1]data_rep!$A$1:$B$200,2,FALSE),FALSE)</f>
        <v>61.8</v>
      </c>
      <c r="H12" s="14">
        <f>HLOOKUP("q16mod8",[1]data_rep!$1:$1048576,VLOOKUP("6Ens",[1]data_rep!$A$1:$B$200,2,FALSE),FALSE)</f>
        <v>62.8</v>
      </c>
    </row>
    <row r="13" spans="1:8" x14ac:dyDescent="0.25">
      <c r="A13" s="8" t="s">
        <v>116</v>
      </c>
      <c r="B13" s="71"/>
      <c r="C13" s="71"/>
      <c r="D13" s="71"/>
      <c r="E13" s="71"/>
      <c r="F13" s="71"/>
      <c r="G13" s="71"/>
      <c r="H13" s="71"/>
    </row>
    <row r="14" spans="1:8" x14ac:dyDescent="0.25">
      <c r="A14" s="8" t="s">
        <v>7</v>
      </c>
      <c r="B14" s="71"/>
      <c r="C14" s="71"/>
      <c r="D14" s="71"/>
      <c r="E14" s="71"/>
      <c r="F14" s="71"/>
      <c r="G14" s="71"/>
      <c r="H14" s="71"/>
    </row>
  </sheetData>
  <hyperlinks>
    <hyperlink ref="F1" location="'Lisez-moi'!A1" display="Retour au sommaire"/>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heetViews>
  <sheetFormatPr baseColWidth="10" defaultRowHeight="15" x14ac:dyDescent="0.25"/>
  <cols>
    <col min="1" max="1" width="91.42578125" customWidth="1"/>
  </cols>
  <sheetData>
    <row r="1" spans="1:9" s="71" customFormat="1" x14ac:dyDescent="0.25">
      <c r="A1" s="4" t="s">
        <v>182</v>
      </c>
      <c r="G1" s="76" t="s">
        <v>111</v>
      </c>
    </row>
    <row r="3" spans="1:9" x14ac:dyDescent="0.25">
      <c r="A3" s="71" t="s">
        <v>193</v>
      </c>
      <c r="B3" s="71"/>
      <c r="C3" s="71"/>
      <c r="D3" s="71"/>
      <c r="E3" s="71"/>
      <c r="F3" s="71"/>
      <c r="G3" s="71"/>
      <c r="H3" s="71"/>
      <c r="I3" s="71"/>
    </row>
    <row r="4" spans="1:9" x14ac:dyDescent="0.25">
      <c r="A4" s="71"/>
      <c r="B4" s="71"/>
      <c r="C4" s="71"/>
      <c r="D4" s="71"/>
      <c r="E4" s="71"/>
      <c r="F4" s="71"/>
      <c r="G4" s="71"/>
      <c r="H4" s="71"/>
      <c r="I4" s="71"/>
    </row>
    <row r="5" spans="1:9" ht="169.5" x14ac:dyDescent="0.25">
      <c r="A5" s="71"/>
      <c r="B5" s="91" t="s">
        <v>183</v>
      </c>
      <c r="C5" s="58" t="s">
        <v>184</v>
      </c>
      <c r="D5" s="58" t="s">
        <v>185</v>
      </c>
      <c r="E5" s="58" t="s">
        <v>186</v>
      </c>
      <c r="F5" s="58" t="s">
        <v>187</v>
      </c>
      <c r="G5" s="58" t="s">
        <v>188</v>
      </c>
      <c r="H5" s="58" t="s">
        <v>189</v>
      </c>
      <c r="I5" s="65" t="s">
        <v>190</v>
      </c>
    </row>
    <row r="6" spans="1:9" x14ac:dyDescent="0.25">
      <c r="A6" s="42" t="s">
        <v>0</v>
      </c>
      <c r="B6" s="56">
        <f>HLOOKUP("q16mod1",[1]data_rep!$1:$1048576,VLOOKUP("EnsEns",[1]data_rep!$A$1:$B$200,2,FALSE),FALSE)</f>
        <v>17.100000000000001</v>
      </c>
      <c r="C6" s="54">
        <f>HLOOKUP("q16mod2",[1]data_rep!$1:$1048576,VLOOKUP("EnsEns",[1]data_rep!$A$1:$B$200,2,FALSE),FALSE)</f>
        <v>11</v>
      </c>
      <c r="D6" s="54">
        <f>HLOOKUP("q16mod3",[1]data_rep!$1:$1048576,VLOOKUP("EnsEns",[1]data_rep!$A$1:$B$200,2,FALSE),FALSE)</f>
        <v>1.2</v>
      </c>
      <c r="E6" s="54">
        <f>HLOOKUP("q16mod4",[1]data_rep!$1:$1048576,VLOOKUP("EnsEns",[1]data_rep!$A$1:$B$200,2,FALSE),FALSE)</f>
        <v>1.7999999999999998</v>
      </c>
      <c r="F6" s="54">
        <f>HLOOKUP("q16mod5",[1]data_rep!$1:$1048576,VLOOKUP("EnsEns",[1]data_rep!$A$1:$B$200,2,FALSE),FALSE)</f>
        <v>0.5</v>
      </c>
      <c r="G6" s="54">
        <f>HLOOKUP("q16mod6",[1]data_rep!$1:$1048576,VLOOKUP("EnsEns",[1]data_rep!$A$1:$B$200,2,FALSE),FALSE)</f>
        <v>16.2</v>
      </c>
      <c r="H6" s="54">
        <f>HLOOKUP("q16mod7",[1]data_rep!$1:$1048576,VLOOKUP("EnsEns",[1]data_rep!$A$1:$B$200,2,FALSE),FALSE)</f>
        <v>8.9</v>
      </c>
      <c r="I6" s="55">
        <f>HLOOKUP("q16mod8",[1]data_rep!$1:$1048576,VLOOKUP("EnsEns",[1]data_rep!$A$1:$B$200,2,FALSE),FALSE)</f>
        <v>63.1</v>
      </c>
    </row>
    <row r="7" spans="1:9" x14ac:dyDescent="0.25">
      <c r="A7" s="6" t="s">
        <v>51</v>
      </c>
      <c r="B7" s="22">
        <f>HLOOKUP("q16mod1",[1]data_rep!$1:$1048576,VLOOKUP("EnsDE",[1]data_rep!$A$1:$B$200,2,FALSE),FALSE)</f>
        <v>35.9</v>
      </c>
      <c r="C7" s="18">
        <f>HLOOKUP("q16mod2",[1]data_rep!$1:$1048576,VLOOKUP("EnsDE",[1]data_rep!$A$1:$B$200,2,FALSE),FALSE)</f>
        <v>6</v>
      </c>
      <c r="D7" s="18">
        <f>HLOOKUP("q16mod3",[1]data_rep!$1:$1048576,VLOOKUP("EnsDE",[1]data_rep!$A$1:$B$200,2,FALSE),FALSE)</f>
        <v>0</v>
      </c>
      <c r="E7" s="18" t="str">
        <f>HLOOKUP("q16mod4",[1]data_rep!$1:$1048576,VLOOKUP("EnsDE",[1]data_rep!$A$1:$B$200,2,FALSE),FALSE)</f>
        <v>nd</v>
      </c>
      <c r="F7" s="18">
        <f>HLOOKUP("q16mod5",[1]data_rep!$1:$1048576,VLOOKUP("EnsDE",[1]data_rep!$A$1:$B$200,2,FALSE),FALSE)</f>
        <v>0</v>
      </c>
      <c r="G7" s="18">
        <f>HLOOKUP("q16mod6",[1]data_rep!$1:$1048576,VLOOKUP("EnsDE",[1]data_rep!$A$1:$B$200,2,FALSE),FALSE)</f>
        <v>6.3</v>
      </c>
      <c r="H7" s="18">
        <f>HLOOKUP("q16mod7",[1]data_rep!$1:$1048576,VLOOKUP("EnsDE",[1]data_rep!$A$1:$B$200,2,FALSE),FALSE)</f>
        <v>3.1</v>
      </c>
      <c r="I7" s="13">
        <f>HLOOKUP("q16mod8",[1]data_rep!$1:$1048576,VLOOKUP("EnsDE",[1]data_rep!$A$1:$B$200,2,FALSE),FALSE)</f>
        <v>55.400000000000006</v>
      </c>
    </row>
    <row r="8" spans="1:9" x14ac:dyDescent="0.25">
      <c r="A8" s="6" t="s">
        <v>16</v>
      </c>
      <c r="B8" s="22">
        <f>HLOOKUP("q16mod1",[1]data_rep!$1:$1048576,VLOOKUP("EnsC1",[1]data_rep!$A$1:$B$200,2,FALSE),FALSE)</f>
        <v>45.300000000000004</v>
      </c>
      <c r="C8" s="18">
        <f>HLOOKUP("q16mod2",[1]data_rep!$1:$1048576,VLOOKUP("EnsC1",[1]data_rep!$A$1:$B$200,2,FALSE),FALSE)</f>
        <v>7.5</v>
      </c>
      <c r="D8" s="18">
        <f>HLOOKUP("q16mod3",[1]data_rep!$1:$1048576,VLOOKUP("EnsC1",[1]data_rep!$A$1:$B$200,2,FALSE),FALSE)</f>
        <v>1.9</v>
      </c>
      <c r="E8" s="18">
        <f>HLOOKUP("q16mod4",[1]data_rep!$1:$1048576,VLOOKUP("EnsC1",[1]data_rep!$A$1:$B$200,2,FALSE),FALSE)</f>
        <v>2.2999999999999998</v>
      </c>
      <c r="F8" s="18">
        <f>HLOOKUP("q16mod5",[1]data_rep!$1:$1048576,VLOOKUP("EnsC1",[1]data_rep!$A$1:$B$200,2,FALSE),FALSE)</f>
        <v>0.4</v>
      </c>
      <c r="G8" s="18">
        <f>HLOOKUP("q16mod6",[1]data_rep!$1:$1048576,VLOOKUP("EnsC1",[1]data_rep!$A$1:$B$200,2,FALSE),FALSE)</f>
        <v>13.900000000000002</v>
      </c>
      <c r="H8" s="18">
        <f>HLOOKUP("q16mod7",[1]data_rep!$1:$1048576,VLOOKUP("EnsC1",[1]data_rep!$A$1:$B$200,2,FALSE),FALSE)</f>
        <v>5.0999999999999996</v>
      </c>
      <c r="I8" s="13">
        <f>HLOOKUP("q16mod8",[1]data_rep!$1:$1048576,VLOOKUP("EnsC1",[1]data_rep!$A$1:$B$200,2,FALSE),FALSE)</f>
        <v>44.6</v>
      </c>
    </row>
    <row r="9" spans="1:9" x14ac:dyDescent="0.25">
      <c r="A9" s="6" t="s">
        <v>17</v>
      </c>
      <c r="B9" s="22">
        <f>HLOOKUP("q16mod1",[1]data_rep!$1:$1048576,VLOOKUP("EnsC2",[1]data_rep!$A$1:$B$200,2,FALSE),FALSE)</f>
        <v>0</v>
      </c>
      <c r="C9" s="18" t="str">
        <f>HLOOKUP("q16mod2",[1]data_rep!$1:$1048576,VLOOKUP("EnsC2",[1]data_rep!$A$1:$B$200,2,FALSE),FALSE)</f>
        <v>nd</v>
      </c>
      <c r="D9" s="18">
        <f>HLOOKUP("q16mod3",[1]data_rep!$1:$1048576,VLOOKUP("EnsC2",[1]data_rep!$A$1:$B$200,2,FALSE),FALSE)</f>
        <v>0</v>
      </c>
      <c r="E9" s="18">
        <f>HLOOKUP("q16mod4",[1]data_rep!$1:$1048576,VLOOKUP("EnsC2",[1]data_rep!$A$1:$B$200,2,FALSE),FALSE)</f>
        <v>0</v>
      </c>
      <c r="F9" s="18">
        <f>HLOOKUP("q16mod5",[1]data_rep!$1:$1048576,VLOOKUP("EnsC2",[1]data_rep!$A$1:$B$200,2,FALSE),FALSE)</f>
        <v>0</v>
      </c>
      <c r="G9" s="18" t="str">
        <f>HLOOKUP("q16mod6",[1]data_rep!$1:$1048576,VLOOKUP("EnsC2",[1]data_rep!$A$1:$B$200,2,FALSE),FALSE)</f>
        <v>nd</v>
      </c>
      <c r="H9" s="18" t="str">
        <f>HLOOKUP("q16mod7",[1]data_rep!$1:$1048576,VLOOKUP("EnsC2",[1]data_rep!$A$1:$B$200,2,FALSE),FALSE)</f>
        <v>nd</v>
      </c>
      <c r="I9" s="13">
        <f>HLOOKUP("q16mod8",[1]data_rep!$1:$1048576,VLOOKUP("EnsC2",[1]data_rep!$A$1:$B$200,2,FALSE),FALSE)</f>
        <v>16.8</v>
      </c>
    </row>
    <row r="10" spans="1:9" x14ac:dyDescent="0.25">
      <c r="A10" s="6" t="s">
        <v>18</v>
      </c>
      <c r="B10" s="22">
        <f>HLOOKUP("q16mod1",[1]data_rep!$1:$1048576,VLOOKUP("EnsC3",[1]data_rep!$A$1:$B$200,2,FALSE),FALSE)</f>
        <v>13.200000000000001</v>
      </c>
      <c r="C10" s="18">
        <f>HLOOKUP("q16mod2",[1]data_rep!$1:$1048576,VLOOKUP("EnsC3",[1]data_rep!$A$1:$B$200,2,FALSE),FALSE)</f>
        <v>19.8</v>
      </c>
      <c r="D10" s="18">
        <f>HLOOKUP("q16mod3",[1]data_rep!$1:$1048576,VLOOKUP("EnsC3",[1]data_rep!$A$1:$B$200,2,FALSE),FALSE)</f>
        <v>0.3</v>
      </c>
      <c r="E10" s="18">
        <f>HLOOKUP("q16mod4",[1]data_rep!$1:$1048576,VLOOKUP("EnsC3",[1]data_rep!$A$1:$B$200,2,FALSE),FALSE)</f>
        <v>0.6</v>
      </c>
      <c r="F10" s="18">
        <f>HLOOKUP("q16mod5",[1]data_rep!$1:$1048576,VLOOKUP("EnsC3",[1]data_rep!$A$1:$B$200,2,FALSE),FALSE)</f>
        <v>2.1999999999999997</v>
      </c>
      <c r="G10" s="18">
        <f>HLOOKUP("q16mod6",[1]data_rep!$1:$1048576,VLOOKUP("EnsC3",[1]data_rep!$A$1:$B$200,2,FALSE),FALSE)</f>
        <v>20</v>
      </c>
      <c r="H10" s="18">
        <f>HLOOKUP("q16mod7",[1]data_rep!$1:$1048576,VLOOKUP("EnsC3",[1]data_rep!$A$1:$B$200,2,FALSE),FALSE)</f>
        <v>9.5</v>
      </c>
      <c r="I10" s="13">
        <f>HLOOKUP("q16mod8",[1]data_rep!$1:$1048576,VLOOKUP("EnsC3",[1]data_rep!$A$1:$B$200,2,FALSE),FALSE)</f>
        <v>56.899999999999991</v>
      </c>
    </row>
    <row r="11" spans="1:9" x14ac:dyDescent="0.25">
      <c r="A11" s="6" t="s">
        <v>19</v>
      </c>
      <c r="B11" s="22">
        <f>HLOOKUP("q16mod1",[1]data_rep!$1:$1048576,VLOOKUP("EnsC4",[1]data_rep!$A$1:$B$200,2,FALSE),FALSE)</f>
        <v>5.8999999999999995</v>
      </c>
      <c r="C11" s="18">
        <f>HLOOKUP("q16mod2",[1]data_rep!$1:$1048576,VLOOKUP("EnsC4",[1]data_rep!$A$1:$B$200,2,FALSE),FALSE)</f>
        <v>25.2</v>
      </c>
      <c r="D11" s="18">
        <f>HLOOKUP("q16mod3",[1]data_rep!$1:$1048576,VLOOKUP("EnsC4",[1]data_rep!$A$1:$B$200,2,FALSE),FALSE)</f>
        <v>0.4</v>
      </c>
      <c r="E11" s="18">
        <f>HLOOKUP("q16mod4",[1]data_rep!$1:$1048576,VLOOKUP("EnsC4",[1]data_rep!$A$1:$B$200,2,FALSE),FALSE)</f>
        <v>0.4</v>
      </c>
      <c r="F11" s="18">
        <f>HLOOKUP("q16mod5",[1]data_rep!$1:$1048576,VLOOKUP("EnsC4",[1]data_rep!$A$1:$B$200,2,FALSE),FALSE)</f>
        <v>0</v>
      </c>
      <c r="G11" s="18">
        <f>HLOOKUP("q16mod6",[1]data_rep!$1:$1048576,VLOOKUP("EnsC4",[1]data_rep!$A$1:$B$200,2,FALSE),FALSE)</f>
        <v>55.300000000000004</v>
      </c>
      <c r="H11" s="18">
        <f>HLOOKUP("q16mod7",[1]data_rep!$1:$1048576,VLOOKUP("EnsC4",[1]data_rep!$A$1:$B$200,2,FALSE),FALSE)</f>
        <v>16.2</v>
      </c>
      <c r="I11" s="13">
        <f>HLOOKUP("q16mod8",[1]data_rep!$1:$1048576,VLOOKUP("EnsC4",[1]data_rep!$A$1:$B$200,2,FALSE),FALSE)</f>
        <v>40.1</v>
      </c>
    </row>
    <row r="12" spans="1:9" x14ac:dyDescent="0.25">
      <c r="A12" s="6" t="s">
        <v>20</v>
      </c>
      <c r="B12" s="22">
        <f>HLOOKUP("q16mod1",[1]data_rep!$1:$1048576,VLOOKUP("EnsC5",[1]data_rep!$A$1:$B$200,2,FALSE),FALSE)</f>
        <v>18.600000000000001</v>
      </c>
      <c r="C12" s="18">
        <f>HLOOKUP("q16mod2",[1]data_rep!$1:$1048576,VLOOKUP("EnsC5",[1]data_rep!$A$1:$B$200,2,FALSE),FALSE)</f>
        <v>13.600000000000001</v>
      </c>
      <c r="D12" s="18">
        <f>HLOOKUP("q16mod3",[1]data_rep!$1:$1048576,VLOOKUP("EnsC5",[1]data_rep!$A$1:$B$200,2,FALSE),FALSE)</f>
        <v>1.0999999999999999</v>
      </c>
      <c r="E12" s="18">
        <f>HLOOKUP("q16mod4",[1]data_rep!$1:$1048576,VLOOKUP("EnsC5",[1]data_rep!$A$1:$B$200,2,FALSE),FALSE)</f>
        <v>1.9</v>
      </c>
      <c r="F12" s="18">
        <f>HLOOKUP("q16mod5",[1]data_rep!$1:$1048576,VLOOKUP("EnsC5",[1]data_rep!$A$1:$B$200,2,FALSE),FALSE)</f>
        <v>0.5</v>
      </c>
      <c r="G12" s="18">
        <f>HLOOKUP("q16mod6",[1]data_rep!$1:$1048576,VLOOKUP("EnsC5",[1]data_rep!$A$1:$B$200,2,FALSE),FALSE)</f>
        <v>18.8</v>
      </c>
      <c r="H12" s="18">
        <f>HLOOKUP("q16mod7",[1]data_rep!$1:$1048576,VLOOKUP("EnsC5",[1]data_rep!$A$1:$B$200,2,FALSE),FALSE)</f>
        <v>7.1</v>
      </c>
      <c r="I12" s="13">
        <f>HLOOKUP("q16mod8",[1]data_rep!$1:$1048576,VLOOKUP("EnsC5",[1]data_rep!$A$1:$B$200,2,FALSE),FALSE)</f>
        <v>61.3</v>
      </c>
    </row>
    <row r="13" spans="1:9" x14ac:dyDescent="0.25">
      <c r="A13" s="6" t="s">
        <v>21</v>
      </c>
      <c r="B13" s="22">
        <f>HLOOKUP("q16mod1",[1]data_rep!$1:$1048576,VLOOKUP("EnsFZ",[1]data_rep!$A$1:$B$200,2,FALSE),FALSE)</f>
        <v>6.1</v>
      </c>
      <c r="C13" s="18">
        <f>HLOOKUP("q16mod2",[1]data_rep!$1:$1048576,VLOOKUP("EnsFZ",[1]data_rep!$A$1:$B$200,2,FALSE),FALSE)</f>
        <v>11.700000000000001</v>
      </c>
      <c r="D13" s="18">
        <f>HLOOKUP("q16mod3",[1]data_rep!$1:$1048576,VLOOKUP("EnsFZ",[1]data_rep!$A$1:$B$200,2,FALSE),FALSE)</f>
        <v>3.9</v>
      </c>
      <c r="E13" s="18">
        <f>HLOOKUP("q16mod4",[1]data_rep!$1:$1048576,VLOOKUP("EnsFZ",[1]data_rep!$A$1:$B$200,2,FALSE),FALSE)</f>
        <v>5.3</v>
      </c>
      <c r="F13" s="18">
        <f>HLOOKUP("q16mod5",[1]data_rep!$1:$1048576,VLOOKUP("EnsFZ",[1]data_rep!$A$1:$B$200,2,FALSE),FALSE)</f>
        <v>0.5</v>
      </c>
      <c r="G13" s="18">
        <f>HLOOKUP("q16mod6",[1]data_rep!$1:$1048576,VLOOKUP("EnsFZ",[1]data_rep!$A$1:$B$200,2,FALSE),FALSE)</f>
        <v>19.900000000000002</v>
      </c>
      <c r="H13" s="18">
        <f>HLOOKUP("q16mod7",[1]data_rep!$1:$1048576,VLOOKUP("EnsFZ",[1]data_rep!$A$1:$B$200,2,FALSE),FALSE)</f>
        <v>8.2000000000000011</v>
      </c>
      <c r="I13" s="13">
        <f>HLOOKUP("q16mod8",[1]data_rep!$1:$1048576,VLOOKUP("EnsFZ",[1]data_rep!$A$1:$B$200,2,FALSE),FALSE)</f>
        <v>70.099999999999994</v>
      </c>
    </row>
    <row r="14" spans="1:9" x14ac:dyDescent="0.25">
      <c r="A14" s="6" t="s">
        <v>22</v>
      </c>
      <c r="B14" s="22">
        <f>HLOOKUP("q16mod1",[1]data_rep!$1:$1048576,VLOOKUP("EnsGZ",[1]data_rep!$A$1:$B$200,2,FALSE),FALSE)</f>
        <v>26.3</v>
      </c>
      <c r="C14" s="18">
        <f>HLOOKUP("q16mod2",[1]data_rep!$1:$1048576,VLOOKUP("EnsGZ",[1]data_rep!$A$1:$B$200,2,FALSE),FALSE)</f>
        <v>9.8000000000000007</v>
      </c>
      <c r="D14" s="18">
        <f>HLOOKUP("q16mod3",[1]data_rep!$1:$1048576,VLOOKUP("EnsGZ",[1]data_rep!$A$1:$B$200,2,FALSE),FALSE)</f>
        <v>0.8</v>
      </c>
      <c r="E14" s="18">
        <f>HLOOKUP("q16mod4",[1]data_rep!$1:$1048576,VLOOKUP("EnsGZ",[1]data_rep!$A$1:$B$200,2,FALSE),FALSE)</f>
        <v>3.1</v>
      </c>
      <c r="F14" s="18">
        <f>HLOOKUP("q16mod5",[1]data_rep!$1:$1048576,VLOOKUP("EnsGZ",[1]data_rep!$A$1:$B$200,2,FALSE),FALSE)</f>
        <v>0.4</v>
      </c>
      <c r="G14" s="18">
        <f>HLOOKUP("q16mod6",[1]data_rep!$1:$1048576,VLOOKUP("EnsGZ",[1]data_rep!$A$1:$B$200,2,FALSE),FALSE)</f>
        <v>14.399999999999999</v>
      </c>
      <c r="H14" s="18">
        <f>HLOOKUP("q16mod7",[1]data_rep!$1:$1048576,VLOOKUP("EnsGZ",[1]data_rep!$A$1:$B$200,2,FALSE),FALSE)</f>
        <v>6.6000000000000005</v>
      </c>
      <c r="I14" s="13">
        <f>HLOOKUP("q16mod8",[1]data_rep!$1:$1048576,VLOOKUP("EnsGZ",[1]data_rep!$A$1:$B$200,2,FALSE),FALSE)</f>
        <v>58.599999999999994</v>
      </c>
    </row>
    <row r="15" spans="1:9" x14ac:dyDescent="0.25">
      <c r="A15" s="6" t="s">
        <v>23</v>
      </c>
      <c r="B15" s="22">
        <f>HLOOKUP("q16mod1",[1]data_rep!$1:$1048576,VLOOKUP("EnsHZ",[1]data_rep!$A$1:$B$200,2,FALSE),FALSE)</f>
        <v>18.2</v>
      </c>
      <c r="C15" s="18">
        <f>HLOOKUP("q16mod2",[1]data_rep!$1:$1048576,VLOOKUP("EnsHZ",[1]data_rep!$A$1:$B$200,2,FALSE),FALSE)</f>
        <v>6.3</v>
      </c>
      <c r="D15" s="18">
        <f>HLOOKUP("q16mod3",[1]data_rep!$1:$1048576,VLOOKUP("EnsHZ",[1]data_rep!$A$1:$B$200,2,FALSE),FALSE)</f>
        <v>0.5</v>
      </c>
      <c r="E15" s="18">
        <f>HLOOKUP("q16mod4",[1]data_rep!$1:$1048576,VLOOKUP("EnsHZ",[1]data_rep!$A$1:$B$200,2,FALSE),FALSE)</f>
        <v>1.2</v>
      </c>
      <c r="F15" s="18">
        <f>HLOOKUP("q16mod5",[1]data_rep!$1:$1048576,VLOOKUP("EnsHZ",[1]data_rep!$A$1:$B$200,2,FALSE),FALSE)</f>
        <v>0.6</v>
      </c>
      <c r="G15" s="18">
        <f>HLOOKUP("q16mod6",[1]data_rep!$1:$1048576,VLOOKUP("EnsHZ",[1]data_rep!$A$1:$B$200,2,FALSE),FALSE)</f>
        <v>11.1</v>
      </c>
      <c r="H15" s="18">
        <f>HLOOKUP("q16mod7",[1]data_rep!$1:$1048576,VLOOKUP("EnsHZ",[1]data_rep!$A$1:$B$200,2,FALSE),FALSE)</f>
        <v>4.5</v>
      </c>
      <c r="I15" s="13">
        <f>HLOOKUP("q16mod8",[1]data_rep!$1:$1048576,VLOOKUP("EnsHZ",[1]data_rep!$A$1:$B$200,2,FALSE),FALSE)</f>
        <v>68.5</v>
      </c>
    </row>
    <row r="16" spans="1:9" x14ac:dyDescent="0.25">
      <c r="A16" s="6" t="s">
        <v>24</v>
      </c>
      <c r="B16" s="22">
        <f>HLOOKUP("q16mod1",[1]data_rep!$1:$1048576,VLOOKUP("EnsIZ",[1]data_rep!$A$1:$B$200,2,FALSE),FALSE)</f>
        <v>2.8000000000000003</v>
      </c>
      <c r="C16" s="18">
        <f>HLOOKUP("q16mod2",[1]data_rep!$1:$1048576,VLOOKUP("EnsIZ",[1]data_rep!$A$1:$B$200,2,FALSE),FALSE)</f>
        <v>6.9</v>
      </c>
      <c r="D16" s="18">
        <f>HLOOKUP("q16mod3",[1]data_rep!$1:$1048576,VLOOKUP("EnsIZ",[1]data_rep!$A$1:$B$200,2,FALSE),FALSE)</f>
        <v>0.8</v>
      </c>
      <c r="E16" s="18">
        <f>HLOOKUP("q16mod4",[1]data_rep!$1:$1048576,VLOOKUP("EnsIZ",[1]data_rep!$A$1:$B$200,2,FALSE),FALSE)</f>
        <v>0.8</v>
      </c>
      <c r="F16" s="18">
        <f>HLOOKUP("q16mod5",[1]data_rep!$1:$1048576,VLOOKUP("EnsIZ",[1]data_rep!$A$1:$B$200,2,FALSE),FALSE)</f>
        <v>0</v>
      </c>
      <c r="G16" s="18">
        <f>HLOOKUP("q16mod6",[1]data_rep!$1:$1048576,VLOOKUP("EnsIZ",[1]data_rep!$A$1:$B$200,2,FALSE),FALSE)</f>
        <v>17.100000000000001</v>
      </c>
      <c r="H16" s="18">
        <f>HLOOKUP("q16mod7",[1]data_rep!$1:$1048576,VLOOKUP("EnsIZ",[1]data_rep!$A$1:$B$200,2,FALSE),FALSE)</f>
        <v>2.1999999999999997</v>
      </c>
      <c r="I16" s="13">
        <f>HLOOKUP("q16mod8",[1]data_rep!$1:$1048576,VLOOKUP("EnsIZ",[1]data_rep!$A$1:$B$200,2,FALSE),FALSE)</f>
        <v>76.900000000000006</v>
      </c>
    </row>
    <row r="17" spans="1:9" x14ac:dyDescent="0.25">
      <c r="A17" s="6" t="s">
        <v>25</v>
      </c>
      <c r="B17" s="22">
        <f>HLOOKUP("q16mod1",[1]data_rep!$1:$1048576,VLOOKUP("EnsJZ",[1]data_rep!$A$1:$B$200,2,FALSE),FALSE)</f>
        <v>5.8000000000000007</v>
      </c>
      <c r="C17" s="18">
        <f>HLOOKUP("q16mod2",[1]data_rep!$1:$1048576,VLOOKUP("EnsJZ",[1]data_rep!$A$1:$B$200,2,FALSE),FALSE)</f>
        <v>9.3000000000000007</v>
      </c>
      <c r="D17" s="18" t="str">
        <f>HLOOKUP("q16mod3",[1]data_rep!$1:$1048576,VLOOKUP("EnsJZ",[1]data_rep!$A$1:$B$200,2,FALSE),FALSE)</f>
        <v>nd</v>
      </c>
      <c r="E17" s="18">
        <f>HLOOKUP("q16mod4",[1]data_rep!$1:$1048576,VLOOKUP("EnsJZ",[1]data_rep!$A$1:$B$200,2,FALSE),FALSE)</f>
        <v>0.8</v>
      </c>
      <c r="F17" s="18" t="str">
        <f>HLOOKUP("q16mod5",[1]data_rep!$1:$1048576,VLOOKUP("EnsJZ",[1]data_rep!$A$1:$B$200,2,FALSE),FALSE)</f>
        <v>nd</v>
      </c>
      <c r="G17" s="18">
        <f>HLOOKUP("q16mod6",[1]data_rep!$1:$1048576,VLOOKUP("EnsJZ",[1]data_rep!$A$1:$B$200,2,FALSE),FALSE)</f>
        <v>19</v>
      </c>
      <c r="H17" s="18">
        <f>HLOOKUP("q16mod7",[1]data_rep!$1:$1048576,VLOOKUP("EnsJZ",[1]data_rep!$A$1:$B$200,2,FALSE),FALSE)</f>
        <v>12.6</v>
      </c>
      <c r="I17" s="13">
        <f>HLOOKUP("q16mod8",[1]data_rep!$1:$1048576,VLOOKUP("EnsJZ",[1]data_rep!$A$1:$B$200,2,FALSE),FALSE)</f>
        <v>71.2</v>
      </c>
    </row>
    <row r="18" spans="1:9" x14ac:dyDescent="0.25">
      <c r="A18" s="6" t="s">
        <v>26</v>
      </c>
      <c r="B18" s="22">
        <f>HLOOKUP("q16mod1",[1]data_rep!$1:$1048576,VLOOKUP("EnsKZ",[1]data_rep!$A$1:$B$200,2,FALSE),FALSE)</f>
        <v>17.2</v>
      </c>
      <c r="C18" s="18">
        <f>HLOOKUP("q16mod2",[1]data_rep!$1:$1048576,VLOOKUP("EnsKZ",[1]data_rep!$A$1:$B$200,2,FALSE),FALSE)</f>
        <v>21.9</v>
      </c>
      <c r="D18" s="18">
        <f>HLOOKUP("q16mod3",[1]data_rep!$1:$1048576,VLOOKUP("EnsKZ",[1]data_rep!$A$1:$B$200,2,FALSE),FALSE)</f>
        <v>1.0999999999999999</v>
      </c>
      <c r="E18" s="18" t="str">
        <f>HLOOKUP("q16mod4",[1]data_rep!$1:$1048576,VLOOKUP("EnsKZ",[1]data_rep!$A$1:$B$200,2,FALSE),FALSE)</f>
        <v>nd</v>
      </c>
      <c r="F18" s="18">
        <f>HLOOKUP("q16mod5",[1]data_rep!$1:$1048576,VLOOKUP("EnsKZ",[1]data_rep!$A$1:$B$200,2,FALSE),FALSE)</f>
        <v>0</v>
      </c>
      <c r="G18" s="18">
        <f>HLOOKUP("q16mod6",[1]data_rep!$1:$1048576,VLOOKUP("EnsKZ",[1]data_rep!$A$1:$B$200,2,FALSE),FALSE)</f>
        <v>10.6</v>
      </c>
      <c r="H18" s="18">
        <f>HLOOKUP("q16mod7",[1]data_rep!$1:$1048576,VLOOKUP("EnsKZ",[1]data_rep!$A$1:$B$200,2,FALSE),FALSE)</f>
        <v>13.600000000000001</v>
      </c>
      <c r="I18" s="13">
        <f>HLOOKUP("q16mod8",[1]data_rep!$1:$1048576,VLOOKUP("EnsKZ",[1]data_rep!$A$1:$B$200,2,FALSE),FALSE)</f>
        <v>64.900000000000006</v>
      </c>
    </row>
    <row r="19" spans="1:9" x14ac:dyDescent="0.25">
      <c r="A19" s="6" t="s">
        <v>27</v>
      </c>
      <c r="B19" s="22">
        <f>HLOOKUP("q16mod1",[1]data_rep!$1:$1048576,VLOOKUP("EnsLZ",[1]data_rep!$A$1:$B$200,2,FALSE),FALSE)</f>
        <v>27.400000000000002</v>
      </c>
      <c r="C19" s="18">
        <f>HLOOKUP("q16mod2",[1]data_rep!$1:$1048576,VLOOKUP("EnsLZ",[1]data_rep!$A$1:$B$200,2,FALSE),FALSE)</f>
        <v>16.3</v>
      </c>
      <c r="D19" s="18">
        <f>HLOOKUP("q16mod3",[1]data_rep!$1:$1048576,VLOOKUP("EnsLZ",[1]data_rep!$A$1:$B$200,2,FALSE),FALSE)</f>
        <v>0.89999999999999991</v>
      </c>
      <c r="E19" s="18">
        <f>HLOOKUP("q16mod4",[1]data_rep!$1:$1048576,VLOOKUP("EnsLZ",[1]data_rep!$A$1:$B$200,2,FALSE),FALSE)</f>
        <v>0</v>
      </c>
      <c r="F19" s="18">
        <f>HLOOKUP("q16mod5",[1]data_rep!$1:$1048576,VLOOKUP("EnsLZ",[1]data_rep!$A$1:$B$200,2,FALSE),FALSE)</f>
        <v>0</v>
      </c>
      <c r="G19" s="18">
        <f>HLOOKUP("q16mod6",[1]data_rep!$1:$1048576,VLOOKUP("EnsLZ",[1]data_rep!$A$1:$B$200,2,FALSE),FALSE)</f>
        <v>16.3</v>
      </c>
      <c r="H19" s="18">
        <f>HLOOKUP("q16mod7",[1]data_rep!$1:$1048576,VLOOKUP("EnsLZ",[1]data_rep!$A$1:$B$200,2,FALSE),FALSE)</f>
        <v>10.299999999999999</v>
      </c>
      <c r="I19" s="13">
        <f>HLOOKUP("q16mod8",[1]data_rep!$1:$1048576,VLOOKUP("EnsLZ",[1]data_rep!$A$1:$B$200,2,FALSE),FALSE)</f>
        <v>53.300000000000004</v>
      </c>
    </row>
    <row r="20" spans="1:9" x14ac:dyDescent="0.25">
      <c r="A20" s="6" t="s">
        <v>28</v>
      </c>
      <c r="B20" s="22">
        <f>HLOOKUP("q16mod1",[1]data_rep!$1:$1048576,VLOOKUP("EnsMN",[1]data_rep!$A$1:$B$200,2,FALSE),FALSE)</f>
        <v>11.200000000000001</v>
      </c>
      <c r="C20" s="18">
        <f>HLOOKUP("q16mod2",[1]data_rep!$1:$1048576,VLOOKUP("EnsMN",[1]data_rep!$A$1:$B$200,2,FALSE),FALSE)</f>
        <v>12.3</v>
      </c>
      <c r="D20" s="18">
        <f>HLOOKUP("q16mod3",[1]data_rep!$1:$1048576,VLOOKUP("EnsMN",[1]data_rep!$A$1:$B$200,2,FALSE),FALSE)</f>
        <v>0.8</v>
      </c>
      <c r="E20" s="18">
        <f>HLOOKUP("q16mod4",[1]data_rep!$1:$1048576,VLOOKUP("EnsMN",[1]data_rep!$A$1:$B$200,2,FALSE),FALSE)</f>
        <v>0.70000000000000007</v>
      </c>
      <c r="F20" s="18">
        <f>HLOOKUP("q16mod5",[1]data_rep!$1:$1048576,VLOOKUP("EnsMN",[1]data_rep!$A$1:$B$200,2,FALSE),FALSE)</f>
        <v>0.6</v>
      </c>
      <c r="G20" s="18">
        <f>HLOOKUP("q16mod6",[1]data_rep!$1:$1048576,VLOOKUP("EnsMN",[1]data_rep!$A$1:$B$200,2,FALSE),FALSE)</f>
        <v>18.099999999999998</v>
      </c>
      <c r="H20" s="18">
        <f>HLOOKUP("q16mod7",[1]data_rep!$1:$1048576,VLOOKUP("EnsMN",[1]data_rep!$A$1:$B$200,2,FALSE),FALSE)</f>
        <v>12.5</v>
      </c>
      <c r="I20" s="13">
        <f>HLOOKUP("q16mod8",[1]data_rep!$1:$1048576,VLOOKUP("EnsMN",[1]data_rep!$A$1:$B$200,2,FALSE),FALSE)</f>
        <v>63.5</v>
      </c>
    </row>
    <row r="21" spans="1:9" x14ac:dyDescent="0.25">
      <c r="A21" s="6" t="s">
        <v>29</v>
      </c>
      <c r="B21" s="22">
        <f>HLOOKUP("q16mod1",[1]data_rep!$1:$1048576,VLOOKUP("EnsOQ",[1]data_rep!$A$1:$B$200,2,FALSE),FALSE)</f>
        <v>20.100000000000001</v>
      </c>
      <c r="C21" s="18">
        <f>HLOOKUP("q16mod2",[1]data_rep!$1:$1048576,VLOOKUP("EnsOQ",[1]data_rep!$A$1:$B$200,2,FALSE),FALSE)</f>
        <v>7.1999999999999993</v>
      </c>
      <c r="D21" s="18">
        <f>HLOOKUP("q16mod3",[1]data_rep!$1:$1048576,VLOOKUP("EnsOQ",[1]data_rep!$A$1:$B$200,2,FALSE),FALSE)</f>
        <v>2</v>
      </c>
      <c r="E21" s="18">
        <f>HLOOKUP("q16mod4",[1]data_rep!$1:$1048576,VLOOKUP("EnsOQ",[1]data_rep!$A$1:$B$200,2,FALSE),FALSE)</f>
        <v>2.4</v>
      </c>
      <c r="F21" s="18">
        <f>HLOOKUP("q16mod5",[1]data_rep!$1:$1048576,VLOOKUP("EnsOQ",[1]data_rep!$A$1:$B$200,2,FALSE),FALSE)</f>
        <v>0.6</v>
      </c>
      <c r="G21" s="18">
        <f>HLOOKUP("q16mod6",[1]data_rep!$1:$1048576,VLOOKUP("EnsOQ",[1]data_rep!$A$1:$B$200,2,FALSE),FALSE)</f>
        <v>11.3</v>
      </c>
      <c r="H21" s="18">
        <f>HLOOKUP("q16mod7",[1]data_rep!$1:$1048576,VLOOKUP("EnsOQ",[1]data_rep!$A$1:$B$200,2,FALSE),FALSE)</f>
        <v>10.4</v>
      </c>
      <c r="I21" s="13">
        <f>HLOOKUP("q16mod8",[1]data_rep!$1:$1048576,VLOOKUP("EnsOQ",[1]data_rep!$A$1:$B$200,2,FALSE),FALSE)</f>
        <v>63.7</v>
      </c>
    </row>
    <row r="22" spans="1:9" x14ac:dyDescent="0.25">
      <c r="A22" s="7" t="s">
        <v>30</v>
      </c>
      <c r="B22" s="23">
        <f>HLOOKUP("q16mod1",[1]data_rep!$1:$1048576,VLOOKUP("EnsRU",[1]data_rep!$A$1:$B$200,2,FALSE),FALSE)</f>
        <v>6.4</v>
      </c>
      <c r="C22" s="20">
        <f>HLOOKUP("q16mod2",[1]data_rep!$1:$1048576,VLOOKUP("EnsRU",[1]data_rep!$A$1:$B$200,2,FALSE),FALSE)</f>
        <v>9</v>
      </c>
      <c r="D22" s="20">
        <f>HLOOKUP("q16mod3",[1]data_rep!$1:$1048576,VLOOKUP("EnsRU",[1]data_rep!$A$1:$B$200,2,FALSE),FALSE)</f>
        <v>1.0999999999999999</v>
      </c>
      <c r="E22" s="20">
        <f>HLOOKUP("q16mod4",[1]data_rep!$1:$1048576,VLOOKUP("EnsRU",[1]data_rep!$A$1:$B$200,2,FALSE),FALSE)</f>
        <v>1.9</v>
      </c>
      <c r="F22" s="20" t="str">
        <f>HLOOKUP("q16mod5",[1]data_rep!$1:$1048576,VLOOKUP("EnsRU",[1]data_rep!$A$1:$B$200,2,FALSE),FALSE)</f>
        <v>nd</v>
      </c>
      <c r="G22" s="20">
        <f>HLOOKUP("q16mod6",[1]data_rep!$1:$1048576,VLOOKUP("EnsRU",[1]data_rep!$A$1:$B$200,2,FALSE),FALSE)</f>
        <v>18.3</v>
      </c>
      <c r="H22" s="20">
        <f>HLOOKUP("q16mod7",[1]data_rep!$1:$1048576,VLOOKUP("EnsRU",[1]data_rep!$A$1:$B$200,2,FALSE),FALSE)</f>
        <v>9.3000000000000007</v>
      </c>
      <c r="I22" s="14">
        <f>HLOOKUP("q16mod8",[1]data_rep!$1:$1048576,VLOOKUP("EnsRU",[1]data_rep!$A$1:$B$200,2,FALSE),FALSE)</f>
        <v>71</v>
      </c>
    </row>
    <row r="23" spans="1:9" x14ac:dyDescent="0.25">
      <c r="A23" s="8" t="s">
        <v>116</v>
      </c>
    </row>
    <row r="24" spans="1:9" x14ac:dyDescent="0.25">
      <c r="A24" s="8" t="s">
        <v>7</v>
      </c>
    </row>
  </sheetData>
  <hyperlinks>
    <hyperlink ref="G1" location="'Lisez-moi'!A1" display="Retour au sommaire"/>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K18" sqref="K18"/>
    </sheetView>
  </sheetViews>
  <sheetFormatPr baseColWidth="10" defaultRowHeight="15" x14ac:dyDescent="0.25"/>
  <cols>
    <col min="1" max="1" width="48.5703125" customWidth="1"/>
  </cols>
  <sheetData>
    <row r="1" spans="1:3" x14ac:dyDescent="0.25">
      <c r="A1" s="4" t="s">
        <v>197</v>
      </c>
    </row>
    <row r="3" spans="1:3" x14ac:dyDescent="0.25">
      <c r="A3" s="71" t="s">
        <v>203</v>
      </c>
      <c r="B3" s="71"/>
      <c r="C3" s="71"/>
    </row>
    <row r="4" spans="1:3" x14ac:dyDescent="0.25">
      <c r="A4" s="71"/>
      <c r="B4" s="71"/>
      <c r="C4" s="71"/>
    </row>
    <row r="5" spans="1:3" x14ac:dyDescent="0.25">
      <c r="A5" s="92" t="s">
        <v>198</v>
      </c>
      <c r="B5" s="12">
        <f>HLOOKUP("q17mod5",[1]data_rep!$1:$1048576,VLOOKUP("EnsEns",[1]data_rep!$A$1:$B$200,2,FALSE),FALSE)</f>
        <v>63.1</v>
      </c>
      <c r="C5" s="71"/>
    </row>
    <row r="6" spans="1:3" ht="30" x14ac:dyDescent="0.25">
      <c r="A6" s="93" t="s">
        <v>199</v>
      </c>
      <c r="B6" s="13">
        <f>HLOOKUP("q17mod1",[1]data_rep!$1:$1048576,VLOOKUP("EnsEns",[1]data_rep!$A$1:$B$200,2,FALSE),FALSE)</f>
        <v>34.5</v>
      </c>
      <c r="C6" s="71"/>
    </row>
    <row r="7" spans="1:3" ht="30" x14ac:dyDescent="0.25">
      <c r="A7" s="93" t="s">
        <v>200</v>
      </c>
      <c r="B7" s="13">
        <f>HLOOKUP("q17mod2",[1]data_rep!$1:$1048576,VLOOKUP("EnsEns",[1]data_rep!$A$1:$B$200,2,FALSE),FALSE)</f>
        <v>6.1</v>
      </c>
      <c r="C7" s="71"/>
    </row>
    <row r="8" spans="1:3" x14ac:dyDescent="0.25">
      <c r="A8" s="93" t="s">
        <v>201</v>
      </c>
      <c r="B8" s="13">
        <f>HLOOKUP("q17mod3",[1]data_rep!$1:$1048576,VLOOKUP("EnsEns",[1]data_rep!$A$1:$B$200,2,FALSE),FALSE)</f>
        <v>2.7</v>
      </c>
      <c r="C8" s="71"/>
    </row>
    <row r="9" spans="1:3" x14ac:dyDescent="0.25">
      <c r="A9" s="94" t="s">
        <v>202</v>
      </c>
      <c r="B9" s="14">
        <f>HLOOKUP("q17mod4",[1]data_rep!$1:$1048576,VLOOKUP("EnsEns",[1]data_rep!$A$1:$B$200,2,FALSE),FALSE)</f>
        <v>1.5</v>
      </c>
      <c r="C9" s="71"/>
    </row>
    <row r="10" spans="1:3" x14ac:dyDescent="0.25">
      <c r="A10" s="8" t="s">
        <v>116</v>
      </c>
      <c r="B10" s="71"/>
      <c r="C10" s="71"/>
    </row>
    <row r="11" spans="1:3" x14ac:dyDescent="0.25">
      <c r="A11" s="8" t="s">
        <v>7</v>
      </c>
      <c r="B11" s="71"/>
      <c r="C11" s="71"/>
    </row>
  </sheetData>
  <pageMargins left="0.7" right="0.7" top="0.75" bottom="0.75" header="0.3" footer="0.3"/>
  <pageSetup paperSize="9" orientation="portrait" horizontalDpi="90" verticalDpi="9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J16" sqref="J16"/>
    </sheetView>
  </sheetViews>
  <sheetFormatPr baseColWidth="10" defaultRowHeight="15" x14ac:dyDescent="0.25"/>
  <cols>
    <col min="1" max="1" width="66.5703125" customWidth="1"/>
  </cols>
  <sheetData>
    <row r="1" spans="1:8" s="71" customFormat="1" x14ac:dyDescent="0.25">
      <c r="A1" s="4" t="s">
        <v>197</v>
      </c>
    </row>
    <row r="3" spans="1:8" x14ac:dyDescent="0.25">
      <c r="A3" s="71" t="s">
        <v>204</v>
      </c>
      <c r="B3" s="71"/>
      <c r="C3" s="71"/>
      <c r="D3" s="71"/>
      <c r="E3" s="71"/>
      <c r="F3" s="71"/>
      <c r="G3" s="71"/>
      <c r="H3" s="71"/>
    </row>
    <row r="4" spans="1:8" s="95" customFormat="1" x14ac:dyDescent="0.25"/>
    <row r="5" spans="1:8" x14ac:dyDescent="0.25">
      <c r="A5" s="71"/>
      <c r="B5" s="33" t="s">
        <v>44</v>
      </c>
      <c r="C5" s="34" t="s">
        <v>8</v>
      </c>
      <c r="D5" s="31" t="s">
        <v>9</v>
      </c>
      <c r="E5" s="31" t="s">
        <v>10</v>
      </c>
      <c r="F5" s="31" t="s">
        <v>11</v>
      </c>
      <c r="G5" s="31" t="s">
        <v>12</v>
      </c>
      <c r="H5" s="32" t="s">
        <v>13</v>
      </c>
    </row>
    <row r="6" spans="1:8" x14ac:dyDescent="0.25">
      <c r="A6" s="92" t="s">
        <v>199</v>
      </c>
      <c r="B6" s="35">
        <f>HLOOKUP("q17mod1",[1]data_rep!$1:$1048576,VLOOKUP("EnsEns",[1]data_rep!$A$1:$B$200,2,FALSE),FALSE)</f>
        <v>34.5</v>
      </c>
      <c r="C6" s="22">
        <f>HLOOKUP("q17mod1",[1]data_rep!$1:$1048576,VLOOKUP("1Ens",[1]data_rep!$A$1:$B$200,2,FALSE),FALSE)</f>
        <v>19.900000000000002</v>
      </c>
      <c r="D6" s="18">
        <f>HLOOKUP("q17mod1",[1]data_rep!$1:$1048576,VLOOKUP("2Ens",[1]data_rep!$A$1:$B$200,2,FALSE),FALSE)</f>
        <v>27.700000000000003</v>
      </c>
      <c r="E6" s="18">
        <f>HLOOKUP("q17mod1",[1]data_rep!$1:$1048576,VLOOKUP("3Ens",[1]data_rep!$A$1:$B$200,2,FALSE),FALSE)</f>
        <v>28.7</v>
      </c>
      <c r="F6" s="18">
        <f>HLOOKUP("q17mod1",[1]data_rep!$1:$1048576,VLOOKUP("4Ens",[1]data_rep!$A$1:$B$200,2,FALSE),FALSE)</f>
        <v>33.800000000000004</v>
      </c>
      <c r="G6" s="18">
        <f>HLOOKUP("q17mod1",[1]data_rep!$1:$1048576,VLOOKUP("5Ens",[1]data_rep!$A$1:$B$200,2,FALSE),FALSE)</f>
        <v>32.800000000000004</v>
      </c>
      <c r="H6" s="13">
        <f>HLOOKUP("q17mod1",[1]data_rep!$1:$1048576,VLOOKUP("6Ens",[1]data_rep!$A$1:$B$200,2,FALSE),FALSE)</f>
        <v>43.7</v>
      </c>
    </row>
    <row r="7" spans="1:8" x14ac:dyDescent="0.25">
      <c r="A7" s="93" t="s">
        <v>200</v>
      </c>
      <c r="B7" s="36">
        <f>HLOOKUP("q17mod2",[1]data_rep!$1:$1048576,VLOOKUP("EnsEns",[1]data_rep!$A$1:$B$200,2,FALSE),FALSE)</f>
        <v>6.1</v>
      </c>
      <c r="C7" s="22">
        <f>HLOOKUP("q17mod2",[1]data_rep!$1:$1048576,VLOOKUP("1Ens",[1]data_rep!$A$1:$B$200,2,FALSE),FALSE)</f>
        <v>1.5</v>
      </c>
      <c r="D7" s="18">
        <f>HLOOKUP("q17mod2",[1]data_rep!$1:$1048576,VLOOKUP("2Ens",[1]data_rep!$A$1:$B$200,2,FALSE),FALSE)</f>
        <v>2.5</v>
      </c>
      <c r="E7" s="18">
        <f>HLOOKUP("q17mod2",[1]data_rep!$1:$1048576,VLOOKUP("3Ens",[1]data_rep!$A$1:$B$200,2,FALSE),FALSE)</f>
        <v>2.9000000000000004</v>
      </c>
      <c r="F7" s="18">
        <f>HLOOKUP("q17mod2",[1]data_rep!$1:$1048576,VLOOKUP("4Ens",[1]data_rep!$A$1:$B$200,2,FALSE),FALSE)</f>
        <v>4.5999999999999996</v>
      </c>
      <c r="G7" s="18">
        <f>HLOOKUP("q17mod2",[1]data_rep!$1:$1048576,VLOOKUP("5Ens",[1]data_rep!$A$1:$B$200,2,FALSE),FALSE)</f>
        <v>6</v>
      </c>
      <c r="H7" s="13">
        <f>HLOOKUP("q17mod2",[1]data_rep!$1:$1048576,VLOOKUP("6Ens",[1]data_rep!$A$1:$B$200,2,FALSE),FALSE)</f>
        <v>10.100000000000001</v>
      </c>
    </row>
    <row r="8" spans="1:8" x14ac:dyDescent="0.25">
      <c r="A8" s="93" t="s">
        <v>201</v>
      </c>
      <c r="B8" s="36">
        <f>HLOOKUP("q17mod3",[1]data_rep!$1:$1048576,VLOOKUP("EnsEns",[1]data_rep!$A$1:$B$200,2,FALSE),FALSE)</f>
        <v>2.7</v>
      </c>
      <c r="C8" s="22">
        <f>HLOOKUP("q17mod3",[1]data_rep!$1:$1048576,VLOOKUP("1Ens",[1]data_rep!$A$1:$B$200,2,FALSE),FALSE)</f>
        <v>1.3</v>
      </c>
      <c r="D8" s="18">
        <f>HLOOKUP("q17mod3",[1]data_rep!$1:$1048576,VLOOKUP("2Ens",[1]data_rep!$A$1:$B$200,2,FALSE),FALSE)</f>
        <v>2.6</v>
      </c>
      <c r="E8" s="18">
        <f>HLOOKUP("q17mod3",[1]data_rep!$1:$1048576,VLOOKUP("3Ens",[1]data_rep!$A$1:$B$200,2,FALSE),FALSE)</f>
        <v>3.3000000000000003</v>
      </c>
      <c r="F8" s="18">
        <f>HLOOKUP("q17mod3",[1]data_rep!$1:$1048576,VLOOKUP("4Ens",[1]data_rep!$A$1:$B$200,2,FALSE),FALSE)</f>
        <v>3.6999999999999997</v>
      </c>
      <c r="G8" s="18">
        <f>HLOOKUP("q17mod3",[1]data_rep!$1:$1048576,VLOOKUP("5Ens",[1]data_rep!$A$1:$B$200,2,FALSE),FALSE)</f>
        <v>3.4000000000000004</v>
      </c>
      <c r="H8" s="13">
        <f>HLOOKUP("q17mod3",[1]data_rep!$1:$1048576,VLOOKUP("6Ens",[1]data_rep!$A$1:$B$200,2,FALSE),FALSE)</f>
        <v>2.5</v>
      </c>
    </row>
    <row r="9" spans="1:8" x14ac:dyDescent="0.25">
      <c r="A9" s="93" t="s">
        <v>202</v>
      </c>
      <c r="B9" s="36">
        <f>HLOOKUP("q17mod4",[1]data_rep!$1:$1048576,VLOOKUP("EnsEns",[1]data_rep!$A$1:$B$200,2,FALSE),FALSE)</f>
        <v>1.5</v>
      </c>
      <c r="C9" s="22">
        <f>HLOOKUP("q17mod4",[1]data_rep!$1:$1048576,VLOOKUP("1Ens",[1]data_rep!$A$1:$B$200,2,FALSE),FALSE)</f>
        <v>0.8</v>
      </c>
      <c r="D9" s="18">
        <f>HLOOKUP("q17mod4",[1]data_rep!$1:$1048576,VLOOKUP("2Ens",[1]data_rep!$A$1:$B$200,2,FALSE),FALSE)</f>
        <v>1.9</v>
      </c>
      <c r="E9" s="18">
        <f>HLOOKUP("q17mod4",[1]data_rep!$1:$1048576,VLOOKUP("3Ens",[1]data_rep!$A$1:$B$200,2,FALSE),FALSE)</f>
        <v>2.1999999999999997</v>
      </c>
      <c r="F9" s="18">
        <f>HLOOKUP("q17mod4",[1]data_rep!$1:$1048576,VLOOKUP("4Ens",[1]data_rep!$A$1:$B$200,2,FALSE),FALSE)</f>
        <v>1.4000000000000001</v>
      </c>
      <c r="G9" s="18">
        <f>HLOOKUP("q17mod4",[1]data_rep!$1:$1048576,VLOOKUP("5Ens",[1]data_rep!$A$1:$B$200,2,FALSE),FALSE)</f>
        <v>1.3</v>
      </c>
      <c r="H9" s="13">
        <f>HLOOKUP("q17mod4",[1]data_rep!$1:$1048576,VLOOKUP("6Ens",[1]data_rep!$A$1:$B$200,2,FALSE),FALSE)</f>
        <v>1.5</v>
      </c>
    </row>
    <row r="10" spans="1:8" x14ac:dyDescent="0.25">
      <c r="A10" s="94" t="s">
        <v>198</v>
      </c>
      <c r="B10" s="37">
        <f>HLOOKUP("q17mod5",[1]data_rep!$1:$1048576,VLOOKUP("EnsEns",[1]data_rep!$A$1:$B$200,2,FALSE),FALSE)</f>
        <v>63.1</v>
      </c>
      <c r="C10" s="23">
        <f>HLOOKUP("q17mod5",[1]data_rep!$1:$1048576,VLOOKUP("1Ens",[1]data_rep!$A$1:$B$200,2,FALSE),FALSE)</f>
        <v>79</v>
      </c>
      <c r="D10" s="20">
        <f>HLOOKUP("q17mod5",[1]data_rep!$1:$1048576,VLOOKUP("2Ens",[1]data_rep!$A$1:$B$200,2,FALSE),FALSE)</f>
        <v>71</v>
      </c>
      <c r="E10" s="20">
        <f>HLOOKUP("q17mod5",[1]data_rep!$1:$1048576,VLOOKUP("3Ens",[1]data_rep!$A$1:$B$200,2,FALSE),FALSE)</f>
        <v>69.599999999999994</v>
      </c>
      <c r="F10" s="20">
        <f>HLOOKUP("q17mod5",[1]data_rep!$1:$1048576,VLOOKUP("4Ens",[1]data_rep!$A$1:$B$200,2,FALSE),FALSE)</f>
        <v>63.1</v>
      </c>
      <c r="G10" s="20">
        <f>HLOOKUP("q17mod5",[1]data_rep!$1:$1048576,VLOOKUP("5Ens",[1]data_rep!$A$1:$B$200,2,FALSE),FALSE)</f>
        <v>64.3</v>
      </c>
      <c r="H10" s="14">
        <f>HLOOKUP("q17mod5",[1]data_rep!$1:$1048576,VLOOKUP("6Ens",[1]data_rep!$A$1:$B$200,2,FALSE),FALSE)</f>
        <v>53.5</v>
      </c>
    </row>
    <row r="11" spans="1:8" x14ac:dyDescent="0.25">
      <c r="A11" s="8" t="s">
        <v>116</v>
      </c>
      <c r="B11" s="71"/>
      <c r="C11" s="71"/>
      <c r="D11" s="71"/>
      <c r="E11" s="71"/>
      <c r="F11" s="71"/>
      <c r="G11" s="71"/>
      <c r="H11" s="71"/>
    </row>
    <row r="12" spans="1:8" x14ac:dyDescent="0.25">
      <c r="A12" s="8" t="s">
        <v>7</v>
      </c>
      <c r="B12" s="71"/>
      <c r="C12" s="71"/>
      <c r="D12" s="71"/>
      <c r="E12" s="71"/>
      <c r="F12" s="71"/>
      <c r="G12" s="71"/>
      <c r="H12" s="71"/>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3" workbookViewId="0">
      <selection activeCell="I20" sqref="I20"/>
    </sheetView>
  </sheetViews>
  <sheetFormatPr baseColWidth="10" defaultRowHeight="15" x14ac:dyDescent="0.25"/>
  <cols>
    <col min="1" max="1" width="92.140625" customWidth="1"/>
  </cols>
  <sheetData>
    <row r="1" spans="1:6" s="71" customFormat="1" x14ac:dyDescent="0.25">
      <c r="A1" s="4" t="s">
        <v>197</v>
      </c>
    </row>
    <row r="3" spans="1:6" x14ac:dyDescent="0.25">
      <c r="A3" s="71" t="s">
        <v>205</v>
      </c>
      <c r="B3" s="71"/>
      <c r="C3" s="71"/>
      <c r="D3" s="71"/>
      <c r="E3" s="71"/>
      <c r="F3" s="71"/>
    </row>
    <row r="4" spans="1:6" s="71" customFormat="1" x14ac:dyDescent="0.25"/>
    <row r="5" spans="1:6" ht="123" x14ac:dyDescent="0.25">
      <c r="A5" s="71"/>
      <c r="B5" s="91" t="s">
        <v>199</v>
      </c>
      <c r="C5" s="58" t="s">
        <v>200</v>
      </c>
      <c r="D5" s="58" t="s">
        <v>201</v>
      </c>
      <c r="E5" s="58" t="s">
        <v>202</v>
      </c>
      <c r="F5" s="65" t="s">
        <v>198</v>
      </c>
    </row>
    <row r="6" spans="1:6" x14ac:dyDescent="0.25">
      <c r="A6" s="42" t="s">
        <v>0</v>
      </c>
      <c r="B6" s="56">
        <f>HLOOKUP("q17mod1",[1]data_rep!$1:$1048576,VLOOKUP("EnsEns",[1]data_rep!$A$1:$B$200,2,FALSE),FALSE)</f>
        <v>34.5</v>
      </c>
      <c r="C6" s="54">
        <f>HLOOKUP("q17mod2",[1]data_rep!$1:$1048576,VLOOKUP("EnsEns",[1]data_rep!$A$1:$B$200,2,FALSE),FALSE)</f>
        <v>6.1</v>
      </c>
      <c r="D6" s="54">
        <f>HLOOKUP("q17mod3",[1]data_rep!$1:$1048576,VLOOKUP("EnsEns",[1]data_rep!$A$1:$B$200,2,FALSE),FALSE)</f>
        <v>2.7</v>
      </c>
      <c r="E6" s="54">
        <f>HLOOKUP("q17mod4",[1]data_rep!$1:$1048576,VLOOKUP("EnsEns",[1]data_rep!$A$1:$B$200,2,FALSE),FALSE)</f>
        <v>1.5</v>
      </c>
      <c r="F6" s="55">
        <f>HLOOKUP("q17mod5",[1]data_rep!$1:$1048576,VLOOKUP("EnsEns",[1]data_rep!$A$1:$B$200,2,FALSE),FALSE)</f>
        <v>63.1</v>
      </c>
    </row>
    <row r="7" spans="1:6" x14ac:dyDescent="0.25">
      <c r="A7" s="6" t="s">
        <v>51</v>
      </c>
      <c r="B7" s="22">
        <f>HLOOKUP("q17mod1",[1]data_rep!$1:$1048576,VLOOKUP("EnsDE",[1]data_rep!$A$1:$B$200,2,FALSE),FALSE)</f>
        <v>23.799999999999997</v>
      </c>
      <c r="C7" s="18">
        <f>HLOOKUP("q17mod2",[1]data_rep!$1:$1048576,VLOOKUP("EnsDE",[1]data_rep!$A$1:$B$200,2,FALSE),FALSE)</f>
        <v>4.7</v>
      </c>
      <c r="D7" s="18">
        <f>HLOOKUP("q17mod3",[1]data_rep!$1:$1048576,VLOOKUP("EnsDE",[1]data_rep!$A$1:$B$200,2,FALSE),FALSE)</f>
        <v>0.89999999999999991</v>
      </c>
      <c r="E7" s="18">
        <f>HLOOKUP("q17mod4",[1]data_rep!$1:$1048576,VLOOKUP("EnsDE",[1]data_rep!$A$1:$B$200,2,FALSE),FALSE)</f>
        <v>0</v>
      </c>
      <c r="F7" s="13">
        <f>HLOOKUP("q17mod5",[1]data_rep!$1:$1048576,VLOOKUP("EnsDE",[1]data_rep!$A$1:$B$200,2,FALSE),FALSE)</f>
        <v>74.2</v>
      </c>
    </row>
    <row r="8" spans="1:6" x14ac:dyDescent="0.25">
      <c r="A8" s="6" t="s">
        <v>16</v>
      </c>
      <c r="B8" s="22">
        <f>HLOOKUP("q17mod1",[1]data_rep!$1:$1048576,VLOOKUP("EnsC1",[1]data_rep!$A$1:$B$200,2,FALSE),FALSE)</f>
        <v>29.9</v>
      </c>
      <c r="C8" s="18">
        <f>HLOOKUP("q17mod2",[1]data_rep!$1:$1048576,VLOOKUP("EnsC1",[1]data_rep!$A$1:$B$200,2,FALSE),FALSE)</f>
        <v>5.2</v>
      </c>
      <c r="D8" s="18">
        <f>HLOOKUP("q17mod3",[1]data_rep!$1:$1048576,VLOOKUP("EnsC1",[1]data_rep!$A$1:$B$200,2,FALSE),FALSE)</f>
        <v>2.7</v>
      </c>
      <c r="E8" s="18">
        <f>HLOOKUP("q17mod4",[1]data_rep!$1:$1048576,VLOOKUP("EnsC1",[1]data_rep!$A$1:$B$200,2,FALSE),FALSE)</f>
        <v>0.8</v>
      </c>
      <c r="F8" s="13">
        <f>HLOOKUP("q17mod5",[1]data_rep!$1:$1048576,VLOOKUP("EnsC1",[1]data_rep!$A$1:$B$200,2,FALSE),FALSE)</f>
        <v>68.100000000000009</v>
      </c>
    </row>
    <row r="9" spans="1:6" x14ac:dyDescent="0.25">
      <c r="A9" s="6" t="s">
        <v>17</v>
      </c>
      <c r="B9" s="22">
        <f>HLOOKUP("q17mod1",[1]data_rep!$1:$1048576,VLOOKUP("EnsC2",[1]data_rep!$A$1:$B$200,2,FALSE),FALSE)</f>
        <v>72.2</v>
      </c>
      <c r="C9" s="18" t="str">
        <f>HLOOKUP("q17mod2",[1]data_rep!$1:$1048576,VLOOKUP("EnsC2",[1]data_rep!$A$1:$B$200,2,FALSE),FALSE)</f>
        <v>nd</v>
      </c>
      <c r="D9" s="18" t="str">
        <f>HLOOKUP("q17mod3",[1]data_rep!$1:$1048576,VLOOKUP("EnsC2",[1]data_rep!$A$1:$B$200,2,FALSE),FALSE)</f>
        <v>nd</v>
      </c>
      <c r="E9" s="18" t="str">
        <f>HLOOKUP("q17mod4",[1]data_rep!$1:$1048576,VLOOKUP("EnsC2",[1]data_rep!$A$1:$B$200,2,FALSE),FALSE)</f>
        <v>nd</v>
      </c>
      <c r="F9" s="13">
        <f>HLOOKUP("q17mod5",[1]data_rep!$1:$1048576,VLOOKUP("EnsC2",[1]data_rep!$A$1:$B$200,2,FALSE),FALSE)</f>
        <v>17.599999999999998</v>
      </c>
    </row>
    <row r="10" spans="1:6" x14ac:dyDescent="0.25">
      <c r="A10" s="6" t="s">
        <v>18</v>
      </c>
      <c r="B10" s="22">
        <f>HLOOKUP("q17mod1",[1]data_rep!$1:$1048576,VLOOKUP("EnsC3",[1]data_rep!$A$1:$B$200,2,FALSE),FALSE)</f>
        <v>46.7</v>
      </c>
      <c r="C10" s="18">
        <f>HLOOKUP("q17mod2",[1]data_rep!$1:$1048576,VLOOKUP("EnsC3",[1]data_rep!$A$1:$B$200,2,FALSE),FALSE)</f>
        <v>10.7</v>
      </c>
      <c r="D10" s="18">
        <f>HLOOKUP("q17mod3",[1]data_rep!$1:$1048576,VLOOKUP("EnsC3",[1]data_rep!$A$1:$B$200,2,FALSE),FALSE)</f>
        <v>2.1</v>
      </c>
      <c r="E10" s="18">
        <f>HLOOKUP("q17mod4",[1]data_rep!$1:$1048576,VLOOKUP("EnsC3",[1]data_rep!$A$1:$B$200,2,FALSE),FALSE)</f>
        <v>0.3</v>
      </c>
      <c r="F10" s="13">
        <f>HLOOKUP("q17mod5",[1]data_rep!$1:$1048576,VLOOKUP("EnsC3",[1]data_rep!$A$1:$B$200,2,FALSE),FALSE)</f>
        <v>47.8</v>
      </c>
    </row>
    <row r="11" spans="1:6" x14ac:dyDescent="0.25">
      <c r="A11" s="6" t="s">
        <v>19</v>
      </c>
      <c r="B11" s="22">
        <f>HLOOKUP("q17mod1",[1]data_rep!$1:$1048576,VLOOKUP("EnsC4",[1]data_rep!$A$1:$B$200,2,FALSE),FALSE)</f>
        <v>69.3</v>
      </c>
      <c r="C11" s="18">
        <f>HLOOKUP("q17mod2",[1]data_rep!$1:$1048576,VLOOKUP("EnsC4",[1]data_rep!$A$1:$B$200,2,FALSE),FALSE)</f>
        <v>28.9</v>
      </c>
      <c r="D11" s="18">
        <f>HLOOKUP("q17mod3",[1]data_rep!$1:$1048576,VLOOKUP("EnsC4",[1]data_rep!$A$1:$B$200,2,FALSE),FALSE)</f>
        <v>0.89999999999999991</v>
      </c>
      <c r="E11" s="18">
        <f>HLOOKUP("q17mod4",[1]data_rep!$1:$1048576,VLOOKUP("EnsC4",[1]data_rep!$A$1:$B$200,2,FALSE),FALSE)</f>
        <v>0.4</v>
      </c>
      <c r="F11" s="13">
        <f>HLOOKUP("q17mod5",[1]data_rep!$1:$1048576,VLOOKUP("EnsC4",[1]data_rep!$A$1:$B$200,2,FALSE),FALSE)</f>
        <v>16.900000000000002</v>
      </c>
    </row>
    <row r="12" spans="1:6" x14ac:dyDescent="0.25">
      <c r="A12" s="6" t="s">
        <v>20</v>
      </c>
      <c r="B12" s="22">
        <f>HLOOKUP("q17mod1",[1]data_rep!$1:$1048576,VLOOKUP("EnsC5",[1]data_rep!$A$1:$B$200,2,FALSE),FALSE)</f>
        <v>42.8</v>
      </c>
      <c r="C12" s="18">
        <f>HLOOKUP("q17mod2",[1]data_rep!$1:$1048576,VLOOKUP("EnsC5",[1]data_rep!$A$1:$B$200,2,FALSE),FALSE)</f>
        <v>8.3000000000000007</v>
      </c>
      <c r="D12" s="18">
        <f>HLOOKUP("q17mod3",[1]data_rep!$1:$1048576,VLOOKUP("EnsC5",[1]data_rep!$A$1:$B$200,2,FALSE),FALSE)</f>
        <v>2.1999999999999997</v>
      </c>
      <c r="E12" s="18">
        <f>HLOOKUP("q17mod4",[1]data_rep!$1:$1048576,VLOOKUP("EnsC5",[1]data_rep!$A$1:$B$200,2,FALSE),FALSE)</f>
        <v>1.7000000000000002</v>
      </c>
      <c r="F12" s="13">
        <f>HLOOKUP("q17mod5",[1]data_rep!$1:$1048576,VLOOKUP("EnsC5",[1]data_rep!$A$1:$B$200,2,FALSE),FALSE)</f>
        <v>54.1</v>
      </c>
    </row>
    <row r="13" spans="1:6" x14ac:dyDescent="0.25">
      <c r="A13" s="6" t="s">
        <v>21</v>
      </c>
      <c r="B13" s="22">
        <f>HLOOKUP("q17mod1",[1]data_rep!$1:$1048576,VLOOKUP("EnsFZ",[1]data_rep!$A$1:$B$200,2,FALSE),FALSE)</f>
        <v>42.4</v>
      </c>
      <c r="C13" s="18">
        <f>HLOOKUP("q17mod2",[1]data_rep!$1:$1048576,VLOOKUP("EnsFZ",[1]data_rep!$A$1:$B$200,2,FALSE),FALSE)</f>
        <v>6.4</v>
      </c>
      <c r="D13" s="18">
        <f>HLOOKUP("q17mod3",[1]data_rep!$1:$1048576,VLOOKUP("EnsFZ",[1]data_rep!$A$1:$B$200,2,FALSE),FALSE)</f>
        <v>2.6</v>
      </c>
      <c r="E13" s="18">
        <f>HLOOKUP("q17mod4",[1]data_rep!$1:$1048576,VLOOKUP("EnsFZ",[1]data_rep!$A$1:$B$200,2,FALSE),FALSE)</f>
        <v>0.70000000000000007</v>
      </c>
      <c r="F13" s="13">
        <f>HLOOKUP("q17mod5",[1]data_rep!$1:$1048576,VLOOKUP("EnsFZ",[1]data_rep!$A$1:$B$200,2,FALSE),FALSE)</f>
        <v>56.399999999999991</v>
      </c>
    </row>
    <row r="14" spans="1:6" x14ac:dyDescent="0.25">
      <c r="A14" s="6" t="s">
        <v>22</v>
      </c>
      <c r="B14" s="22">
        <f>HLOOKUP("q17mod1",[1]data_rep!$1:$1048576,VLOOKUP("EnsGZ",[1]data_rep!$A$1:$B$200,2,FALSE),FALSE)</f>
        <v>27.400000000000002</v>
      </c>
      <c r="C14" s="18">
        <f>HLOOKUP("q17mod2",[1]data_rep!$1:$1048576,VLOOKUP("EnsGZ",[1]data_rep!$A$1:$B$200,2,FALSE),FALSE)</f>
        <v>5.4</v>
      </c>
      <c r="D14" s="18">
        <f>HLOOKUP("q17mod3",[1]data_rep!$1:$1048576,VLOOKUP("EnsGZ",[1]data_rep!$A$1:$B$200,2,FALSE),FALSE)</f>
        <v>2.1999999999999997</v>
      </c>
      <c r="E14" s="18">
        <f>HLOOKUP("q17mod4",[1]data_rep!$1:$1048576,VLOOKUP("EnsGZ",[1]data_rep!$A$1:$B$200,2,FALSE),FALSE)</f>
        <v>1.6</v>
      </c>
      <c r="F14" s="13">
        <f>HLOOKUP("q17mod5",[1]data_rep!$1:$1048576,VLOOKUP("EnsGZ",[1]data_rep!$A$1:$B$200,2,FALSE),FALSE)</f>
        <v>72.2</v>
      </c>
    </row>
    <row r="15" spans="1:6" x14ac:dyDescent="0.25">
      <c r="A15" s="6" t="s">
        <v>23</v>
      </c>
      <c r="B15" s="22">
        <f>HLOOKUP("q17mod1",[1]data_rep!$1:$1048576,VLOOKUP("EnsHZ",[1]data_rep!$A$1:$B$200,2,FALSE),FALSE)</f>
        <v>49.8</v>
      </c>
      <c r="C15" s="18">
        <f>HLOOKUP("q17mod2",[1]data_rep!$1:$1048576,VLOOKUP("EnsHZ",[1]data_rep!$A$1:$B$200,2,FALSE),FALSE)</f>
        <v>8</v>
      </c>
      <c r="D15" s="18">
        <f>HLOOKUP("q17mod3",[1]data_rep!$1:$1048576,VLOOKUP("EnsHZ",[1]data_rep!$A$1:$B$200,2,FALSE),FALSE)</f>
        <v>3</v>
      </c>
      <c r="E15" s="18">
        <f>HLOOKUP("q17mod4",[1]data_rep!$1:$1048576,VLOOKUP("EnsHZ",[1]data_rep!$A$1:$B$200,2,FALSE),FALSE)</f>
        <v>2.2999999999999998</v>
      </c>
      <c r="F15" s="13">
        <f>HLOOKUP("q17mod5",[1]data_rep!$1:$1048576,VLOOKUP("EnsHZ",[1]data_rep!$A$1:$B$200,2,FALSE),FALSE)</f>
        <v>49.1</v>
      </c>
    </row>
    <row r="16" spans="1:6" x14ac:dyDescent="0.25">
      <c r="A16" s="6" t="s">
        <v>24</v>
      </c>
      <c r="B16" s="22">
        <f>HLOOKUP("q17mod1",[1]data_rep!$1:$1048576,VLOOKUP("EnsIZ",[1]data_rep!$A$1:$B$200,2,FALSE),FALSE)</f>
        <v>17.100000000000001</v>
      </c>
      <c r="C16" s="18">
        <f>HLOOKUP("q17mod2",[1]data_rep!$1:$1048576,VLOOKUP("EnsIZ",[1]data_rep!$A$1:$B$200,2,FALSE),FALSE)</f>
        <v>1.3</v>
      </c>
      <c r="D16" s="18" t="str">
        <f>HLOOKUP("q17mod3",[1]data_rep!$1:$1048576,VLOOKUP("EnsIZ",[1]data_rep!$A$1:$B$200,2,FALSE),FALSE)</f>
        <v>nd</v>
      </c>
      <c r="E16" s="18" t="str">
        <f>HLOOKUP("q17mod4",[1]data_rep!$1:$1048576,VLOOKUP("EnsIZ",[1]data_rep!$A$1:$B$200,2,FALSE),FALSE)</f>
        <v>nd</v>
      </c>
      <c r="F16" s="13">
        <f>HLOOKUP("q17mod5",[1]data_rep!$1:$1048576,VLOOKUP("EnsIZ",[1]data_rep!$A$1:$B$200,2,FALSE),FALSE)</f>
        <v>81.899999999999991</v>
      </c>
    </row>
    <row r="17" spans="1:6" x14ac:dyDescent="0.25">
      <c r="A17" s="6" t="s">
        <v>25</v>
      </c>
      <c r="B17" s="22">
        <f>HLOOKUP("q17mod1",[1]data_rep!$1:$1048576,VLOOKUP("EnsJZ",[1]data_rep!$A$1:$B$200,2,FALSE),FALSE)</f>
        <v>48.6</v>
      </c>
      <c r="C17" s="18">
        <f>HLOOKUP("q17mod2",[1]data_rep!$1:$1048576,VLOOKUP("EnsJZ",[1]data_rep!$A$1:$B$200,2,FALSE),FALSE)</f>
        <v>5.0999999999999996</v>
      </c>
      <c r="D17" s="18">
        <f>HLOOKUP("q17mod3",[1]data_rep!$1:$1048576,VLOOKUP("EnsJZ",[1]data_rep!$A$1:$B$200,2,FALSE),FALSE)</f>
        <v>1</v>
      </c>
      <c r="E17" s="18">
        <f>HLOOKUP("q17mod4",[1]data_rep!$1:$1048576,VLOOKUP("EnsJZ",[1]data_rep!$A$1:$B$200,2,FALSE),FALSE)</f>
        <v>1.0999999999999999</v>
      </c>
      <c r="F17" s="13">
        <f>HLOOKUP("q17mod5",[1]data_rep!$1:$1048576,VLOOKUP("EnsJZ",[1]data_rep!$A$1:$B$200,2,FALSE),FALSE)</f>
        <v>49.9</v>
      </c>
    </row>
    <row r="18" spans="1:6" x14ac:dyDescent="0.25">
      <c r="A18" s="6" t="s">
        <v>26</v>
      </c>
      <c r="B18" s="22">
        <f>HLOOKUP("q17mod1",[1]data_rep!$1:$1048576,VLOOKUP("EnsKZ",[1]data_rep!$A$1:$B$200,2,FALSE),FALSE)</f>
        <v>51</v>
      </c>
      <c r="C18" s="18">
        <f>HLOOKUP("q17mod2",[1]data_rep!$1:$1048576,VLOOKUP("EnsKZ",[1]data_rep!$A$1:$B$200,2,FALSE),FALSE)</f>
        <v>6.4</v>
      </c>
      <c r="D18" s="18">
        <f>HLOOKUP("q17mod3",[1]data_rep!$1:$1048576,VLOOKUP("EnsKZ",[1]data_rep!$A$1:$B$200,2,FALSE),FALSE)</f>
        <v>0.8</v>
      </c>
      <c r="E18" s="18">
        <f>HLOOKUP("q17mod4",[1]data_rep!$1:$1048576,VLOOKUP("EnsKZ",[1]data_rep!$A$1:$B$200,2,FALSE),FALSE)</f>
        <v>0.6</v>
      </c>
      <c r="F18" s="13">
        <f>HLOOKUP("q17mod5",[1]data_rep!$1:$1048576,VLOOKUP("EnsKZ",[1]data_rep!$A$1:$B$200,2,FALSE),FALSE)</f>
        <v>48.1</v>
      </c>
    </row>
    <row r="19" spans="1:6" x14ac:dyDescent="0.25">
      <c r="A19" s="6" t="s">
        <v>27</v>
      </c>
      <c r="B19" s="22">
        <f>HLOOKUP("q17mod1",[1]data_rep!$1:$1048576,VLOOKUP("EnsLZ",[1]data_rep!$A$1:$B$200,2,FALSE),FALSE)</f>
        <v>36.199999999999996</v>
      </c>
      <c r="C19" s="18">
        <f>HLOOKUP("q17mod2",[1]data_rep!$1:$1048576,VLOOKUP("EnsLZ",[1]data_rep!$A$1:$B$200,2,FALSE),FALSE)</f>
        <v>4</v>
      </c>
      <c r="D19" s="18">
        <f>HLOOKUP("q17mod3",[1]data_rep!$1:$1048576,VLOOKUP("EnsLZ",[1]data_rep!$A$1:$B$200,2,FALSE),FALSE)</f>
        <v>1.5</v>
      </c>
      <c r="E19" s="18" t="str">
        <f>HLOOKUP("q17mod4",[1]data_rep!$1:$1048576,VLOOKUP("EnsLZ",[1]data_rep!$A$1:$B$200,2,FALSE),FALSE)</f>
        <v>nd</v>
      </c>
      <c r="F19" s="13">
        <f>HLOOKUP("q17mod5",[1]data_rep!$1:$1048576,VLOOKUP("EnsLZ",[1]data_rep!$A$1:$B$200,2,FALSE),FALSE)</f>
        <v>59.099999999999994</v>
      </c>
    </row>
    <row r="20" spans="1:6" x14ac:dyDescent="0.25">
      <c r="A20" s="6" t="s">
        <v>28</v>
      </c>
      <c r="B20" s="22">
        <f>HLOOKUP("q17mod1",[1]data_rep!$1:$1048576,VLOOKUP("EnsMN",[1]data_rep!$A$1:$B$200,2,FALSE),FALSE)</f>
        <v>32.700000000000003</v>
      </c>
      <c r="C20" s="18">
        <f>HLOOKUP("q17mod2",[1]data_rep!$1:$1048576,VLOOKUP("EnsMN",[1]data_rep!$A$1:$B$200,2,FALSE),FALSE)</f>
        <v>4.3999999999999995</v>
      </c>
      <c r="D20" s="18">
        <f>HLOOKUP("q17mod3",[1]data_rep!$1:$1048576,VLOOKUP("EnsMN",[1]data_rep!$A$1:$B$200,2,FALSE),FALSE)</f>
        <v>2.1999999999999997</v>
      </c>
      <c r="E20" s="18">
        <f>HLOOKUP("q17mod4",[1]data_rep!$1:$1048576,VLOOKUP("EnsMN",[1]data_rep!$A$1:$B$200,2,FALSE),FALSE)</f>
        <v>1.6</v>
      </c>
      <c r="F20" s="13">
        <f>HLOOKUP("q17mod5",[1]data_rep!$1:$1048576,VLOOKUP("EnsMN",[1]data_rep!$A$1:$B$200,2,FALSE),FALSE)</f>
        <v>66.5</v>
      </c>
    </row>
    <row r="21" spans="1:6" x14ac:dyDescent="0.25">
      <c r="A21" s="6" t="s">
        <v>29</v>
      </c>
      <c r="B21" s="22">
        <f>HLOOKUP("q17mod1",[1]data_rep!$1:$1048576,VLOOKUP("EnsOQ",[1]data_rep!$A$1:$B$200,2,FALSE),FALSE)</f>
        <v>20.8</v>
      </c>
      <c r="C21" s="18">
        <f>HLOOKUP("q17mod2",[1]data_rep!$1:$1048576,VLOOKUP("EnsOQ",[1]data_rep!$A$1:$B$200,2,FALSE),FALSE)</f>
        <v>4.3999999999999995</v>
      </c>
      <c r="D21" s="18">
        <f>HLOOKUP("q17mod3",[1]data_rep!$1:$1048576,VLOOKUP("EnsOQ",[1]data_rep!$A$1:$B$200,2,FALSE),FALSE)</f>
        <v>7.0000000000000009</v>
      </c>
      <c r="E21" s="18">
        <f>HLOOKUP("q17mod4",[1]data_rep!$1:$1048576,VLOOKUP("EnsOQ",[1]data_rep!$A$1:$B$200,2,FALSE),FALSE)</f>
        <v>3.1</v>
      </c>
      <c r="F21" s="13">
        <f>HLOOKUP("q17mod5",[1]data_rep!$1:$1048576,VLOOKUP("EnsOQ",[1]data_rep!$A$1:$B$200,2,FALSE),FALSE)</f>
        <v>73.8</v>
      </c>
    </row>
    <row r="22" spans="1:6" x14ac:dyDescent="0.25">
      <c r="A22" s="7" t="s">
        <v>30</v>
      </c>
      <c r="B22" s="23">
        <f>HLOOKUP("q17mod1",[1]data_rep!$1:$1048576,VLOOKUP("EnsRU",[1]data_rep!$A$1:$B$200,2,FALSE),FALSE)</f>
        <v>23.1</v>
      </c>
      <c r="C22" s="20">
        <f>HLOOKUP("q17mod2",[1]data_rep!$1:$1048576,VLOOKUP("EnsRU",[1]data_rep!$A$1:$B$200,2,FALSE),FALSE)</f>
        <v>3.2</v>
      </c>
      <c r="D22" s="20">
        <f>HLOOKUP("q17mod3",[1]data_rep!$1:$1048576,VLOOKUP("EnsRU",[1]data_rep!$A$1:$B$200,2,FALSE),FALSE)</f>
        <v>1.6</v>
      </c>
      <c r="E22" s="20">
        <f>HLOOKUP("q17mod4",[1]data_rep!$1:$1048576,VLOOKUP("EnsRU",[1]data_rep!$A$1:$B$200,2,FALSE),FALSE)</f>
        <v>0.70000000000000007</v>
      </c>
      <c r="F22" s="14">
        <f>HLOOKUP("q17mod5",[1]data_rep!$1:$1048576,VLOOKUP("EnsRU",[1]data_rep!$A$1:$B$200,2,FALSE),FALSE)</f>
        <v>75.099999999999994</v>
      </c>
    </row>
    <row r="23" spans="1:6" x14ac:dyDescent="0.25">
      <c r="A23" s="8" t="s">
        <v>116</v>
      </c>
    </row>
    <row r="24" spans="1:6" x14ac:dyDescent="0.25">
      <c r="A24" s="8" t="s">
        <v>7</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M12"/>
  <sheetViews>
    <sheetView workbookViewId="0">
      <selection activeCell="M3" sqref="M3"/>
    </sheetView>
  </sheetViews>
  <sheetFormatPr baseColWidth="10" defaultRowHeight="15" x14ac:dyDescent="0.25"/>
  <cols>
    <col min="1" max="1" width="68" customWidth="1"/>
  </cols>
  <sheetData>
    <row r="1" spans="1:13" x14ac:dyDescent="0.25">
      <c r="A1" s="4" t="s">
        <v>211</v>
      </c>
    </row>
    <row r="3" spans="1:13" x14ac:dyDescent="0.25">
      <c r="A3" s="3" t="s">
        <v>209</v>
      </c>
      <c r="B3" s="3"/>
      <c r="M3" s="76" t="s">
        <v>111</v>
      </c>
    </row>
    <row r="4" spans="1:13" s="71" customFormat="1" x14ac:dyDescent="0.25">
      <c r="M4" s="76"/>
    </row>
    <row r="5" spans="1:13" x14ac:dyDescent="0.25">
      <c r="A5" s="5" t="s">
        <v>105</v>
      </c>
      <c r="B5" s="12">
        <v>19.100000000000001</v>
      </c>
    </row>
    <row r="6" spans="1:13" x14ac:dyDescent="0.25">
      <c r="A6" s="6" t="s">
        <v>106</v>
      </c>
      <c r="B6" s="13">
        <v>29.599999999999998</v>
      </c>
    </row>
    <row r="7" spans="1:13" x14ac:dyDescent="0.25">
      <c r="A7" s="6" t="s">
        <v>107</v>
      </c>
      <c r="B7" s="13">
        <v>15.5</v>
      </c>
    </row>
    <row r="8" spans="1:13" x14ac:dyDescent="0.25">
      <c r="A8" s="7" t="s">
        <v>72</v>
      </c>
      <c r="B8" s="14">
        <v>35.9</v>
      </c>
    </row>
    <row r="9" spans="1:13" x14ac:dyDescent="0.25">
      <c r="A9" s="8" t="s">
        <v>210</v>
      </c>
      <c r="B9" s="71"/>
      <c r="C9" s="71"/>
      <c r="D9" s="71"/>
      <c r="E9" s="71"/>
      <c r="F9" s="71"/>
    </row>
    <row r="10" spans="1:13" x14ac:dyDescent="0.25">
      <c r="A10" s="8" t="s">
        <v>116</v>
      </c>
      <c r="B10" s="71"/>
      <c r="C10" s="71"/>
      <c r="D10" s="71"/>
      <c r="E10" s="71"/>
      <c r="F10" s="71"/>
    </row>
    <row r="11" spans="1:13" x14ac:dyDescent="0.25">
      <c r="A11" s="8" t="s">
        <v>7</v>
      </c>
      <c r="B11" s="71"/>
      <c r="C11" s="71"/>
      <c r="D11" s="71"/>
      <c r="E11" s="71"/>
      <c r="F11" s="71"/>
    </row>
    <row r="12" spans="1:13" x14ac:dyDescent="0.25">
      <c r="A12" s="3"/>
      <c r="B12" s="3"/>
    </row>
  </sheetData>
  <hyperlinks>
    <hyperlink ref="M3" location="'Lisez-moi'!A1" display="Retour au sommaire"/>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J16" sqref="J16"/>
    </sheetView>
  </sheetViews>
  <sheetFormatPr baseColWidth="10" defaultRowHeight="15" x14ac:dyDescent="0.25"/>
  <cols>
    <col min="1" max="1" width="77.28515625" style="71" customWidth="1"/>
    <col min="2" max="16384" width="11.42578125" style="71"/>
  </cols>
  <sheetData>
    <row r="1" spans="1:12" x14ac:dyDescent="0.25">
      <c r="A1" s="4" t="s">
        <v>211</v>
      </c>
    </row>
    <row r="3" spans="1:12" x14ac:dyDescent="0.25">
      <c r="A3" s="71" t="s">
        <v>212</v>
      </c>
    </row>
    <row r="4" spans="1:12" ht="29.25" customHeight="1" x14ac:dyDescent="0.25">
      <c r="B4" s="38" t="s">
        <v>44</v>
      </c>
      <c r="C4" s="43" t="s">
        <v>8</v>
      </c>
      <c r="D4" s="44" t="s">
        <v>9</v>
      </c>
      <c r="E4" s="44" t="s">
        <v>10</v>
      </c>
      <c r="F4" s="44" t="s">
        <v>11</v>
      </c>
      <c r="G4" s="44" t="s">
        <v>12</v>
      </c>
      <c r="H4" s="45" t="s">
        <v>13</v>
      </c>
      <c r="L4" s="76" t="s">
        <v>111</v>
      </c>
    </row>
    <row r="5" spans="1:12" x14ac:dyDescent="0.25">
      <c r="A5" s="5" t="s">
        <v>105</v>
      </c>
      <c r="B5" s="27">
        <v>19.100000000000001</v>
      </c>
      <c r="C5" s="16">
        <v>22.3</v>
      </c>
      <c r="D5" s="16">
        <v>21.099999999999998</v>
      </c>
      <c r="E5" s="16">
        <v>22.400000000000002</v>
      </c>
      <c r="F5" s="16">
        <v>21.3</v>
      </c>
      <c r="G5" s="16">
        <v>22.1</v>
      </c>
      <c r="H5" s="12">
        <v>15</v>
      </c>
    </row>
    <row r="6" spans="1:12" x14ac:dyDescent="0.25">
      <c r="A6" s="6" t="s">
        <v>106</v>
      </c>
      <c r="B6" s="28">
        <v>29.599999999999998</v>
      </c>
      <c r="C6" s="18">
        <v>29.2</v>
      </c>
      <c r="D6" s="18">
        <v>31</v>
      </c>
      <c r="E6" s="18">
        <v>32.4</v>
      </c>
      <c r="F6" s="18">
        <v>30.2</v>
      </c>
      <c r="G6" s="18">
        <v>28.799999999999997</v>
      </c>
      <c r="H6" s="13">
        <v>28.299999999999997</v>
      </c>
    </row>
    <row r="7" spans="1:12" x14ac:dyDescent="0.25">
      <c r="A7" s="6" t="s">
        <v>107</v>
      </c>
      <c r="B7" s="36">
        <v>15.5</v>
      </c>
      <c r="C7" s="18">
        <v>16.2</v>
      </c>
      <c r="D7" s="18">
        <v>15.4</v>
      </c>
      <c r="E7" s="18">
        <v>13.100000000000001</v>
      </c>
      <c r="F7" s="18">
        <v>11.799999999999999</v>
      </c>
      <c r="G7" s="18">
        <v>10.9</v>
      </c>
      <c r="H7" s="13">
        <v>18.3</v>
      </c>
    </row>
    <row r="8" spans="1:12" x14ac:dyDescent="0.25">
      <c r="A8" s="7" t="s">
        <v>72</v>
      </c>
      <c r="B8" s="37">
        <v>35.9</v>
      </c>
      <c r="C8" s="20">
        <v>32.4</v>
      </c>
      <c r="D8" s="20">
        <v>32.5</v>
      </c>
      <c r="E8" s="20">
        <v>32.1</v>
      </c>
      <c r="F8" s="20">
        <v>36.6</v>
      </c>
      <c r="G8" s="20">
        <v>38.299999999999997</v>
      </c>
      <c r="H8" s="14">
        <v>38.4</v>
      </c>
    </row>
    <row r="9" spans="1:12" x14ac:dyDescent="0.25">
      <c r="A9" s="8" t="s">
        <v>116</v>
      </c>
    </row>
    <row r="10" spans="1:12" x14ac:dyDescent="0.25">
      <c r="A10" s="8" t="s">
        <v>7</v>
      </c>
    </row>
  </sheetData>
  <hyperlinks>
    <hyperlink ref="L4" location="'Lisez-moi'!A1" display="Retour au sommaire"/>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L17" sqref="L17"/>
    </sheetView>
  </sheetViews>
  <sheetFormatPr baseColWidth="10" defaultRowHeight="15" x14ac:dyDescent="0.25"/>
  <cols>
    <col min="1" max="1" width="77.28515625" style="71" customWidth="1"/>
    <col min="2" max="16384" width="11.42578125" style="71"/>
  </cols>
  <sheetData>
    <row r="1" spans="1:12" x14ac:dyDescent="0.25">
      <c r="A1" s="4" t="s">
        <v>211</v>
      </c>
    </row>
    <row r="3" spans="1:12" x14ac:dyDescent="0.25">
      <c r="A3" s="71" t="s">
        <v>213</v>
      </c>
      <c r="L3" s="76" t="s">
        <v>111</v>
      </c>
    </row>
    <row r="4" spans="1:12" x14ac:dyDescent="0.25">
      <c r="L4" s="76"/>
    </row>
    <row r="5" spans="1:12" ht="90" customHeight="1" x14ac:dyDescent="0.25">
      <c r="B5" s="51" t="s">
        <v>105</v>
      </c>
      <c r="C5" s="47" t="s">
        <v>106</v>
      </c>
      <c r="D5" s="47" t="s">
        <v>107</v>
      </c>
      <c r="E5" s="47" t="s">
        <v>72</v>
      </c>
      <c r="F5" s="50" t="s">
        <v>92</v>
      </c>
    </row>
    <row r="6" spans="1:12" x14ac:dyDescent="0.25">
      <c r="A6" s="42" t="s">
        <v>0</v>
      </c>
      <c r="B6" s="23">
        <v>19.100000000000001</v>
      </c>
      <c r="C6" s="20">
        <v>29.599999999999998</v>
      </c>
      <c r="D6" s="20">
        <v>15.5</v>
      </c>
      <c r="E6" s="20">
        <v>35.9</v>
      </c>
      <c r="F6" s="14"/>
      <c r="H6" s="69"/>
      <c r="I6" s="69"/>
      <c r="J6" s="69"/>
      <c r="K6" s="69"/>
    </row>
    <row r="7" spans="1:12" x14ac:dyDescent="0.25">
      <c r="A7" s="6" t="s">
        <v>51</v>
      </c>
      <c r="B7" s="22">
        <v>5.6000000000000005</v>
      </c>
      <c r="C7" s="18">
        <v>43.7</v>
      </c>
      <c r="D7" s="18">
        <v>1.3</v>
      </c>
      <c r="E7" s="18">
        <v>49.5</v>
      </c>
      <c r="F7" s="13"/>
      <c r="H7" s="69"/>
      <c r="I7" s="69"/>
      <c r="J7" s="69"/>
      <c r="K7" s="69"/>
    </row>
    <row r="8" spans="1:12" x14ac:dyDescent="0.25">
      <c r="A8" s="6" t="s">
        <v>16</v>
      </c>
      <c r="B8" s="22">
        <v>25</v>
      </c>
      <c r="C8" s="18">
        <v>39.700000000000003</v>
      </c>
      <c r="D8" s="18">
        <v>7.3</v>
      </c>
      <c r="E8" s="18">
        <v>28.000000000000004</v>
      </c>
      <c r="F8" s="13"/>
      <c r="H8" s="69"/>
      <c r="I8" s="69"/>
      <c r="J8" s="69"/>
      <c r="K8" s="69"/>
    </row>
    <row r="9" spans="1:12" x14ac:dyDescent="0.25">
      <c r="A9" s="6" t="s">
        <v>17</v>
      </c>
      <c r="B9" s="22" t="s">
        <v>92</v>
      </c>
      <c r="C9" s="18">
        <v>82.399999999999991</v>
      </c>
      <c r="D9" s="18">
        <v>0</v>
      </c>
      <c r="E9" s="18" t="s">
        <v>92</v>
      </c>
      <c r="F9" s="13">
        <f>100-SUM(B9:E9)</f>
        <v>17.600000000000009</v>
      </c>
      <c r="H9" s="69"/>
      <c r="I9" s="69"/>
      <c r="J9" s="69"/>
      <c r="K9" s="69"/>
    </row>
    <row r="10" spans="1:12" x14ac:dyDescent="0.25">
      <c r="A10" s="6" t="s">
        <v>18</v>
      </c>
      <c r="B10" s="22">
        <v>18.399999999999999</v>
      </c>
      <c r="C10" s="18">
        <v>35.299999999999997</v>
      </c>
      <c r="D10" s="18">
        <v>16.600000000000001</v>
      </c>
      <c r="E10" s="18">
        <v>29.7</v>
      </c>
      <c r="F10" s="13"/>
      <c r="H10" s="69"/>
      <c r="I10" s="69"/>
      <c r="J10" s="69"/>
      <c r="K10" s="69"/>
    </row>
    <row r="11" spans="1:12" x14ac:dyDescent="0.25">
      <c r="A11" s="6" t="s">
        <v>19</v>
      </c>
      <c r="B11" s="22">
        <v>9.8000000000000007</v>
      </c>
      <c r="C11" s="18">
        <v>25.4</v>
      </c>
      <c r="D11" s="18">
        <v>26.900000000000002</v>
      </c>
      <c r="E11" s="18">
        <v>37.9</v>
      </c>
      <c r="F11" s="13"/>
      <c r="H11" s="69"/>
      <c r="I11" s="69"/>
      <c r="J11" s="69"/>
      <c r="K11" s="69"/>
    </row>
    <row r="12" spans="1:12" x14ac:dyDescent="0.25">
      <c r="A12" s="6" t="s">
        <v>20</v>
      </c>
      <c r="B12" s="22">
        <v>19.7</v>
      </c>
      <c r="C12" s="18">
        <v>38.800000000000004</v>
      </c>
      <c r="D12" s="18">
        <v>10.100000000000001</v>
      </c>
      <c r="E12" s="18">
        <v>31.3</v>
      </c>
      <c r="F12" s="13"/>
      <c r="H12" s="69"/>
      <c r="I12" s="69"/>
      <c r="J12" s="69"/>
      <c r="K12" s="69"/>
    </row>
    <row r="13" spans="1:12" x14ac:dyDescent="0.25">
      <c r="A13" s="6" t="s">
        <v>21</v>
      </c>
      <c r="B13" s="22">
        <v>7.1</v>
      </c>
      <c r="C13" s="18">
        <v>37.299999999999997</v>
      </c>
      <c r="D13" s="18">
        <v>28.999999999999996</v>
      </c>
      <c r="E13" s="18">
        <v>26.5</v>
      </c>
      <c r="F13" s="13"/>
      <c r="H13" s="69"/>
      <c r="I13" s="69"/>
      <c r="J13" s="69"/>
      <c r="K13" s="69"/>
    </row>
    <row r="14" spans="1:12" x14ac:dyDescent="0.25">
      <c r="A14" s="6" t="s">
        <v>22</v>
      </c>
      <c r="B14" s="22">
        <v>18</v>
      </c>
      <c r="C14" s="18">
        <v>31.8</v>
      </c>
      <c r="D14" s="18">
        <v>16.400000000000002</v>
      </c>
      <c r="E14" s="18">
        <v>33.700000000000003</v>
      </c>
      <c r="F14" s="13"/>
      <c r="H14" s="69"/>
      <c r="I14" s="69"/>
      <c r="J14" s="69"/>
      <c r="K14" s="69"/>
    </row>
    <row r="15" spans="1:12" x14ac:dyDescent="0.25">
      <c r="A15" s="6" t="s">
        <v>23</v>
      </c>
      <c r="B15" s="22">
        <v>13.200000000000001</v>
      </c>
      <c r="C15" s="18">
        <v>26.3</v>
      </c>
      <c r="D15" s="18">
        <v>16.3</v>
      </c>
      <c r="E15" s="18">
        <v>44.3</v>
      </c>
      <c r="F15" s="13"/>
      <c r="H15" s="69"/>
      <c r="I15" s="69"/>
      <c r="J15" s="69"/>
      <c r="K15" s="69"/>
    </row>
    <row r="16" spans="1:12" x14ac:dyDescent="0.25">
      <c r="A16" s="6" t="s">
        <v>24</v>
      </c>
      <c r="B16" s="22">
        <v>4.9000000000000004</v>
      </c>
      <c r="C16" s="18">
        <v>24.2</v>
      </c>
      <c r="D16" s="18">
        <v>26.3</v>
      </c>
      <c r="E16" s="18">
        <v>44.6</v>
      </c>
      <c r="F16" s="13"/>
      <c r="H16" s="69"/>
      <c r="I16" s="69"/>
      <c r="J16" s="69"/>
      <c r="K16" s="69"/>
    </row>
    <row r="17" spans="1:11" x14ac:dyDescent="0.25">
      <c r="A17" s="6" t="s">
        <v>25</v>
      </c>
      <c r="B17" s="22">
        <v>31.4</v>
      </c>
      <c r="C17" s="18">
        <v>15.5</v>
      </c>
      <c r="D17" s="18">
        <v>13.5</v>
      </c>
      <c r="E17" s="18">
        <v>39.6</v>
      </c>
      <c r="F17" s="13"/>
      <c r="H17" s="69"/>
      <c r="I17" s="69"/>
      <c r="J17" s="69"/>
      <c r="K17" s="69"/>
    </row>
    <row r="18" spans="1:11" x14ac:dyDescent="0.25">
      <c r="A18" s="6" t="s">
        <v>26</v>
      </c>
      <c r="B18" s="22">
        <v>23.7</v>
      </c>
      <c r="C18" s="18">
        <v>33.700000000000003</v>
      </c>
      <c r="D18" s="18">
        <v>8.3000000000000007</v>
      </c>
      <c r="E18" s="18">
        <v>34.4</v>
      </c>
      <c r="F18" s="13"/>
      <c r="H18" s="69"/>
      <c r="I18" s="69"/>
      <c r="J18" s="69"/>
      <c r="K18" s="69"/>
    </row>
    <row r="19" spans="1:11" x14ac:dyDescent="0.25">
      <c r="A19" s="6" t="s">
        <v>27</v>
      </c>
      <c r="B19" s="22">
        <v>24.2</v>
      </c>
      <c r="C19" s="18">
        <v>26.400000000000002</v>
      </c>
      <c r="D19" s="18">
        <v>4.1000000000000005</v>
      </c>
      <c r="E19" s="18">
        <v>45.300000000000004</v>
      </c>
      <c r="F19" s="13"/>
      <c r="H19" s="69"/>
      <c r="I19" s="69"/>
      <c r="J19" s="69"/>
      <c r="K19" s="69"/>
    </row>
    <row r="20" spans="1:11" x14ac:dyDescent="0.25">
      <c r="A20" s="6" t="s">
        <v>28</v>
      </c>
      <c r="B20" s="22">
        <v>25</v>
      </c>
      <c r="C20" s="18">
        <v>26.3</v>
      </c>
      <c r="D20" s="18">
        <v>15.6</v>
      </c>
      <c r="E20" s="18">
        <v>33.1</v>
      </c>
      <c r="F20" s="13"/>
      <c r="H20" s="69"/>
      <c r="I20" s="69"/>
      <c r="J20" s="69"/>
      <c r="K20" s="69"/>
    </row>
    <row r="21" spans="1:11" x14ac:dyDescent="0.25">
      <c r="A21" s="6" t="s">
        <v>29</v>
      </c>
      <c r="B21" s="22">
        <v>21.5</v>
      </c>
      <c r="C21" s="18">
        <v>25.7</v>
      </c>
      <c r="D21" s="18">
        <v>13.600000000000001</v>
      </c>
      <c r="E21" s="18">
        <v>39.200000000000003</v>
      </c>
      <c r="F21" s="13"/>
      <c r="H21" s="69"/>
      <c r="I21" s="69"/>
      <c r="J21" s="69"/>
      <c r="K21" s="69"/>
    </row>
    <row r="22" spans="1:11" x14ac:dyDescent="0.25">
      <c r="A22" s="7" t="s">
        <v>30</v>
      </c>
      <c r="B22" s="23">
        <v>24.6</v>
      </c>
      <c r="C22" s="20">
        <v>22.7</v>
      </c>
      <c r="D22" s="20">
        <v>16.3</v>
      </c>
      <c r="E22" s="20">
        <v>36.299999999999997</v>
      </c>
      <c r="F22" s="14"/>
      <c r="H22" s="69"/>
      <c r="I22" s="69"/>
      <c r="J22" s="69"/>
      <c r="K22" s="69"/>
    </row>
    <row r="23" spans="1:11" x14ac:dyDescent="0.25">
      <c r="A23" s="8" t="s">
        <v>116</v>
      </c>
    </row>
    <row r="24" spans="1:11" x14ac:dyDescent="0.25">
      <c r="A24" s="8" t="s">
        <v>7</v>
      </c>
    </row>
  </sheetData>
  <hyperlinks>
    <hyperlink ref="L3" location="'Lisez-moi'!A1" display="Retour au sommaire"/>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E30"/>
  <sheetViews>
    <sheetView workbookViewId="0">
      <selection activeCell="E1" sqref="E1"/>
    </sheetView>
  </sheetViews>
  <sheetFormatPr baseColWidth="10" defaultRowHeight="15" x14ac:dyDescent="0.25"/>
  <cols>
    <col min="1" max="1" width="90.28515625" style="71" customWidth="1"/>
    <col min="2" max="16384" width="11.42578125" style="71"/>
  </cols>
  <sheetData>
    <row r="1" spans="1:5" x14ac:dyDescent="0.25">
      <c r="A1" s="4" t="s">
        <v>216</v>
      </c>
      <c r="E1" s="76" t="s">
        <v>111</v>
      </c>
    </row>
    <row r="3" spans="1:5" x14ac:dyDescent="0.25">
      <c r="A3" s="71" t="s">
        <v>214</v>
      </c>
    </row>
    <row r="4" spans="1:5" x14ac:dyDescent="0.25">
      <c r="B4" s="53" t="s">
        <v>56</v>
      </c>
      <c r="C4" s="64" t="s">
        <v>57</v>
      </c>
    </row>
    <row r="5" spans="1:5" x14ac:dyDescent="0.25">
      <c r="A5" s="5" t="s">
        <v>73</v>
      </c>
      <c r="B5" s="21">
        <v>25.1</v>
      </c>
      <c r="C5" s="12">
        <v>74.900000000000006</v>
      </c>
    </row>
    <row r="6" spans="1:5" x14ac:dyDescent="0.25">
      <c r="A6" s="7" t="s">
        <v>74</v>
      </c>
      <c r="B6" s="23">
        <v>25.3</v>
      </c>
      <c r="C6" s="14">
        <v>74.7</v>
      </c>
    </row>
    <row r="7" spans="1:5" x14ac:dyDescent="0.25">
      <c r="A7" s="8" t="s">
        <v>116</v>
      </c>
    </row>
    <row r="8" spans="1:5" x14ac:dyDescent="0.25">
      <c r="A8" s="8" t="s">
        <v>7</v>
      </c>
    </row>
    <row r="9" spans="1:5" x14ac:dyDescent="0.25">
      <c r="A9" s="63"/>
    </row>
    <row r="10" spans="1:5" x14ac:dyDescent="0.25">
      <c r="A10" s="63"/>
    </row>
    <row r="11" spans="1:5" x14ac:dyDescent="0.25">
      <c r="A11" s="63"/>
    </row>
    <row r="12" spans="1:5" x14ac:dyDescent="0.25">
      <c r="A12" s="63"/>
    </row>
    <row r="13" spans="1:5" x14ac:dyDescent="0.25">
      <c r="A13" s="63"/>
    </row>
    <row r="14" spans="1:5" x14ac:dyDescent="0.25">
      <c r="A14" s="63"/>
    </row>
    <row r="15" spans="1:5" x14ac:dyDescent="0.25">
      <c r="A15" s="63"/>
    </row>
    <row r="16" spans="1:5" x14ac:dyDescent="0.25">
      <c r="A16" s="63"/>
    </row>
    <row r="17" spans="1:1" x14ac:dyDescent="0.25">
      <c r="A17" s="63"/>
    </row>
    <row r="18" spans="1:1" x14ac:dyDescent="0.25">
      <c r="A18" s="63"/>
    </row>
    <row r="19" spans="1:1" x14ac:dyDescent="0.25">
      <c r="A19" s="63"/>
    </row>
    <row r="20" spans="1:1" x14ac:dyDescent="0.25">
      <c r="A20" s="63"/>
    </row>
    <row r="21" spans="1:1" x14ac:dyDescent="0.25">
      <c r="A21" s="63"/>
    </row>
    <row r="22" spans="1:1" x14ac:dyDescent="0.25">
      <c r="A22" s="63"/>
    </row>
    <row r="23" spans="1:1" x14ac:dyDescent="0.25">
      <c r="A23" s="63"/>
    </row>
    <row r="24" spans="1:1" x14ac:dyDescent="0.25">
      <c r="A24" s="63"/>
    </row>
    <row r="25" spans="1:1" x14ac:dyDescent="0.25">
      <c r="A25" s="63"/>
    </row>
    <row r="26" spans="1:1" x14ac:dyDescent="0.25">
      <c r="A26" s="63"/>
    </row>
    <row r="27" spans="1:1" x14ac:dyDescent="0.25">
      <c r="A27" s="63"/>
    </row>
    <row r="28" spans="1:1" x14ac:dyDescent="0.25">
      <c r="A28" s="63"/>
    </row>
    <row r="29" spans="1:1" x14ac:dyDescent="0.25">
      <c r="A29" s="63"/>
    </row>
    <row r="30" spans="1:1" x14ac:dyDescent="0.25">
      <c r="A30" s="63"/>
    </row>
  </sheetData>
  <hyperlinks>
    <hyperlink ref="E1" location="'Lisez-moi'!A1" display="Retour au sommair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M28"/>
  <sheetViews>
    <sheetView workbookViewId="0">
      <selection activeCell="A3" sqref="A3"/>
    </sheetView>
  </sheetViews>
  <sheetFormatPr baseColWidth="10" defaultRowHeight="15" x14ac:dyDescent="0.25"/>
  <cols>
    <col min="1" max="1" width="90.42578125" customWidth="1"/>
  </cols>
  <sheetData>
    <row r="1" spans="1:13" x14ac:dyDescent="0.25">
      <c r="A1" s="2" t="s">
        <v>114</v>
      </c>
      <c r="G1" s="76" t="s">
        <v>111</v>
      </c>
    </row>
    <row r="3" spans="1:13" x14ac:dyDescent="0.25">
      <c r="A3" s="71" t="s">
        <v>119</v>
      </c>
      <c r="B3" s="71"/>
      <c r="C3" s="71"/>
      <c r="D3" s="71"/>
      <c r="E3" s="71"/>
      <c r="F3" s="71"/>
      <c r="H3" s="71"/>
      <c r="I3" s="71"/>
      <c r="J3" s="71"/>
      <c r="K3" s="71"/>
      <c r="L3" s="71"/>
    </row>
    <row r="4" spans="1:13" ht="123" x14ac:dyDescent="0.25">
      <c r="A4" s="71"/>
      <c r="B4" s="57" t="s">
        <v>1</v>
      </c>
      <c r="C4" s="58" t="s">
        <v>14</v>
      </c>
      <c r="D4" s="58" t="s">
        <v>15</v>
      </c>
      <c r="E4" s="59" t="s">
        <v>4</v>
      </c>
      <c r="F4" s="60" t="s">
        <v>5</v>
      </c>
      <c r="G4" s="60" t="s">
        <v>92</v>
      </c>
      <c r="H4" s="71"/>
      <c r="I4" s="71"/>
      <c r="J4" s="71"/>
      <c r="K4" s="71"/>
      <c r="L4" s="71"/>
    </row>
    <row r="5" spans="1:13" x14ac:dyDescent="0.25">
      <c r="A5" s="42" t="s">
        <v>0</v>
      </c>
      <c r="B5" s="56">
        <f>HLOOKUP("q2mod1",[1]data_rep!$1:$1048576,VLOOKUP("EnsEns",[1]data_rep!$A$1:$B$200,2,FALSE),FALSE)</f>
        <v>1.4000000000000001</v>
      </c>
      <c r="C5" s="54">
        <f>HLOOKUP("q2mod2",[1]data_rep!$1:$1048576,VLOOKUP("EnsEns",[1]data_rep!$A$1:$B$200,2,FALSE),FALSE)</f>
        <v>11.4</v>
      </c>
      <c r="D5" s="54">
        <f>HLOOKUP("q2mod3",[1]data_rep!$1:$1048576,VLOOKUP("EnsEns",[1]data_rep!$A$1:$B$200,2,FALSE),FALSE)</f>
        <v>38.5</v>
      </c>
      <c r="E5" s="54">
        <f>HLOOKUP("q2mod4",[1]data_rep!$1:$1048576,VLOOKUP("EnsEns",[1]data_rep!$A$1:$B$200,2,FALSE),FALSE)</f>
        <v>37.1</v>
      </c>
      <c r="F5" s="55">
        <f>HLOOKUP("q2mod5",[1]data_rep!$1:$1048576,VLOOKUP("EnsEns",[1]data_rep!$A$1:$B$200,2,FALSE),FALSE)</f>
        <v>11.600000000000001</v>
      </c>
      <c r="G5" s="55"/>
      <c r="H5" s="71"/>
      <c r="I5" s="69"/>
      <c r="J5" s="69"/>
      <c r="K5" s="69"/>
      <c r="L5" s="69"/>
      <c r="M5" s="69"/>
    </row>
    <row r="6" spans="1:13" x14ac:dyDescent="0.25">
      <c r="A6" s="6" t="s">
        <v>51</v>
      </c>
      <c r="B6" s="22" t="str">
        <f>HLOOKUP("q2mod1",[1]data_rep!$1:$1048576,VLOOKUP("EnsDE",[1]data_rep!$A$1:$B$200,2,FALSE),FALSE)</f>
        <v>nd</v>
      </c>
      <c r="C6" s="18" t="s">
        <v>92</v>
      </c>
      <c r="D6" s="18">
        <f>HLOOKUP("q2mod3",[1]data_rep!$1:$1048576,VLOOKUP("EnsDE",[1]data_rep!$A$1:$B$200,2,FALSE),FALSE)</f>
        <v>55.500000000000007</v>
      </c>
      <c r="E6" s="18">
        <f>HLOOKUP("q2mod4",[1]data_rep!$1:$1048576,VLOOKUP("EnsDE",[1]data_rep!$A$1:$B$200,2,FALSE),FALSE)</f>
        <v>40.5</v>
      </c>
      <c r="F6" s="13">
        <f>HLOOKUP("q2mod5",[1]data_rep!$1:$1048576,VLOOKUP("EnsDE",[1]data_rep!$A$1:$B$200,2,FALSE),FALSE)</f>
        <v>2.7</v>
      </c>
      <c r="G6" s="13">
        <f>100-SUM(B6:F6)</f>
        <v>1.2999999999999972</v>
      </c>
      <c r="H6" s="71"/>
      <c r="I6" s="69"/>
      <c r="J6" s="69"/>
      <c r="K6" s="69"/>
      <c r="L6" s="69"/>
      <c r="M6" s="69"/>
    </row>
    <row r="7" spans="1:13" x14ac:dyDescent="0.25">
      <c r="A7" s="6" t="s">
        <v>16</v>
      </c>
      <c r="B7" s="22" t="str">
        <f>HLOOKUP("q2mod1",[1]data_rep!$1:$1048576,VLOOKUP("EnsC1",[1]data_rep!$A$1:$B$200,2,FALSE),FALSE)</f>
        <v>nd</v>
      </c>
      <c r="C7" s="18">
        <f>HLOOKUP("q2mod2",[1]data_rep!$1:$1048576,VLOOKUP("EnsC1",[1]data_rep!$A$1:$B$200,2,FALSE),FALSE)</f>
        <v>5.0999999999999996</v>
      </c>
      <c r="D7" s="18">
        <f>HLOOKUP("q2mod3",[1]data_rep!$1:$1048576,VLOOKUP("EnsC1",[1]data_rep!$A$1:$B$200,2,FALSE),FALSE)</f>
        <v>27.800000000000004</v>
      </c>
      <c r="E7" s="18">
        <f>HLOOKUP("q2mod4",[1]data_rep!$1:$1048576,VLOOKUP("EnsC1",[1]data_rep!$A$1:$B$200,2,FALSE),FALSE)</f>
        <v>58.099999999999994</v>
      </c>
      <c r="F7" s="13">
        <f>HLOOKUP("q2mod5",[1]data_rep!$1:$1048576,VLOOKUP("EnsC1",[1]data_rep!$A$1:$B$200,2,FALSE),FALSE)</f>
        <v>8.6999999999999993</v>
      </c>
      <c r="G7" s="13"/>
      <c r="H7" s="71"/>
      <c r="I7" s="69"/>
      <c r="J7" s="69"/>
      <c r="K7" s="69"/>
      <c r="L7" s="69"/>
      <c r="M7" s="69"/>
    </row>
    <row r="8" spans="1:13" x14ac:dyDescent="0.25">
      <c r="A8" s="6" t="s">
        <v>17</v>
      </c>
      <c r="B8" s="22">
        <f>HLOOKUP("q2mod1",[1]data_rep!$1:$1048576,VLOOKUP("EnsC2",[1]data_rep!$A$1:$B$200,2,FALSE),FALSE)</f>
        <v>0</v>
      </c>
      <c r="C8" s="18" t="str">
        <f>HLOOKUP("q2mod2",[1]data_rep!$1:$1048576,VLOOKUP("EnsC2",[1]data_rep!$A$1:$B$200,2,FALSE),FALSE)</f>
        <v>nd</v>
      </c>
      <c r="D8" s="18" t="str">
        <f>HLOOKUP("q2mod3",[1]data_rep!$1:$1048576,VLOOKUP("EnsC2",[1]data_rep!$A$1:$B$200,2,FALSE),FALSE)</f>
        <v>nd</v>
      </c>
      <c r="E8" s="18" t="str">
        <f>HLOOKUP("q2mod4",[1]data_rep!$1:$1048576,VLOOKUP("EnsC2",[1]data_rep!$A$1:$B$200,2,FALSE),FALSE)</f>
        <v>nd</v>
      </c>
      <c r="F8" s="13">
        <f>HLOOKUP("q2mod5",[1]data_rep!$1:$1048576,VLOOKUP("EnsC2",[1]data_rep!$A$1:$B$200,2,FALSE),FALSE)</f>
        <v>4</v>
      </c>
      <c r="G8" s="13">
        <f>100-SUM(B8:F8)</f>
        <v>96</v>
      </c>
      <c r="H8" s="71"/>
      <c r="I8" s="69"/>
      <c r="J8" s="69"/>
      <c r="K8" s="69"/>
      <c r="L8" s="69"/>
      <c r="M8" s="69"/>
    </row>
    <row r="9" spans="1:13" x14ac:dyDescent="0.25">
      <c r="A9" s="6" t="s">
        <v>18</v>
      </c>
      <c r="B9" s="22" t="str">
        <f>HLOOKUP("q2mod1",[1]data_rep!$1:$1048576,VLOOKUP("EnsC3",[1]data_rep!$A$1:$B$200,2,FALSE),FALSE)</f>
        <v>nd</v>
      </c>
      <c r="C9" s="18">
        <f>HLOOKUP("q2mod2",[1]data_rep!$1:$1048576,VLOOKUP("EnsC3",[1]data_rep!$A$1:$B$200,2,FALSE),FALSE)</f>
        <v>11.3</v>
      </c>
      <c r="D9" s="18">
        <f>HLOOKUP("q2mod3",[1]data_rep!$1:$1048576,VLOOKUP("EnsC3",[1]data_rep!$A$1:$B$200,2,FALSE),FALSE)</f>
        <v>41</v>
      </c>
      <c r="E9" s="18">
        <f>HLOOKUP("q2mod4",[1]data_rep!$1:$1048576,VLOOKUP("EnsC3",[1]data_rep!$A$1:$B$200,2,FALSE),FALSE)</f>
        <v>40.699999999999996</v>
      </c>
      <c r="F9" s="13" t="s">
        <v>92</v>
      </c>
      <c r="G9" s="13"/>
      <c r="H9" s="71"/>
      <c r="I9" s="69"/>
      <c r="J9" s="69"/>
      <c r="K9" s="69"/>
      <c r="L9" s="69"/>
      <c r="M9" s="69"/>
    </row>
    <row r="10" spans="1:13" x14ac:dyDescent="0.25">
      <c r="A10" s="6" t="s">
        <v>19</v>
      </c>
      <c r="B10" s="22" t="str">
        <f>HLOOKUP("q2mod1",[1]data_rep!$1:$1048576,VLOOKUP("EnsC4",[1]data_rep!$A$1:$B$200,2,FALSE),FALSE)</f>
        <v>nd</v>
      </c>
      <c r="C10" s="18">
        <f>HLOOKUP("q2mod2",[1]data_rep!$1:$1048576,VLOOKUP("EnsC4",[1]data_rep!$A$1:$B$200,2,FALSE),FALSE)</f>
        <v>26.400000000000002</v>
      </c>
      <c r="D10" s="18">
        <f>HLOOKUP("q2mod3",[1]data_rep!$1:$1048576,VLOOKUP("EnsC4",[1]data_rep!$A$1:$B$200,2,FALSE),FALSE)</f>
        <v>58.699999999999996</v>
      </c>
      <c r="E10" s="18">
        <f>HLOOKUP("q2mod4",[1]data_rep!$1:$1048576,VLOOKUP("EnsC4",[1]data_rep!$A$1:$B$200,2,FALSE),FALSE)</f>
        <v>13.3</v>
      </c>
      <c r="F10" s="13" t="s">
        <v>92</v>
      </c>
      <c r="G10" s="13"/>
      <c r="H10" s="71"/>
      <c r="I10" s="69"/>
      <c r="J10" s="69"/>
      <c r="K10" s="69"/>
      <c r="L10" s="69"/>
      <c r="M10" s="69"/>
    </row>
    <row r="11" spans="1:13" x14ac:dyDescent="0.25">
      <c r="A11" s="6" t="s">
        <v>20</v>
      </c>
      <c r="B11" s="22">
        <f>HLOOKUP("q2mod1",[1]data_rep!$1:$1048576,VLOOKUP("EnsC5",[1]data_rep!$A$1:$B$200,2,FALSE),FALSE)</f>
        <v>0.1</v>
      </c>
      <c r="C11" s="18">
        <f>HLOOKUP("q2mod2",[1]data_rep!$1:$1048576,VLOOKUP("EnsC5",[1]data_rep!$A$1:$B$200,2,FALSE),FALSE)</f>
        <v>10.7</v>
      </c>
      <c r="D11" s="18">
        <f>HLOOKUP("q2mod3",[1]data_rep!$1:$1048576,VLOOKUP("EnsC5",[1]data_rep!$A$1:$B$200,2,FALSE),FALSE)</f>
        <v>43.6</v>
      </c>
      <c r="E11" s="18">
        <f>HLOOKUP("q2mod4",[1]data_rep!$1:$1048576,VLOOKUP("EnsC5",[1]data_rep!$A$1:$B$200,2,FALSE),FALSE)</f>
        <v>35.199999999999996</v>
      </c>
      <c r="F11" s="13">
        <f>HLOOKUP("q2mod5",[1]data_rep!$1:$1048576,VLOOKUP("EnsC5",[1]data_rep!$A$1:$B$200,2,FALSE),FALSE)</f>
        <v>10.4</v>
      </c>
      <c r="G11" s="13"/>
      <c r="H11" s="71"/>
      <c r="I11" s="69"/>
      <c r="J11" s="69"/>
      <c r="K11" s="69"/>
      <c r="L11" s="69"/>
      <c r="M11" s="69"/>
    </row>
    <row r="12" spans="1:13" x14ac:dyDescent="0.25">
      <c r="A12" s="6" t="s">
        <v>21</v>
      </c>
      <c r="B12" s="22">
        <f>HLOOKUP("q2mod1",[1]data_rep!$1:$1048576,VLOOKUP("EnsFZ",[1]data_rep!$A$1:$B$200,2,FALSE),FALSE)</f>
        <v>0.4</v>
      </c>
      <c r="C12" s="18">
        <f>HLOOKUP("q2mod2",[1]data_rep!$1:$1048576,VLOOKUP("EnsFZ",[1]data_rep!$A$1:$B$200,2,FALSE),FALSE)</f>
        <v>6</v>
      </c>
      <c r="D12" s="18">
        <f>HLOOKUP("q2mod3",[1]data_rep!$1:$1048576,VLOOKUP("EnsFZ",[1]data_rep!$A$1:$B$200,2,FALSE),FALSE)</f>
        <v>27.700000000000003</v>
      </c>
      <c r="E12" s="18">
        <f>HLOOKUP("q2mod4",[1]data_rep!$1:$1048576,VLOOKUP("EnsFZ",[1]data_rep!$A$1:$B$200,2,FALSE),FALSE)</f>
        <v>49.9</v>
      </c>
      <c r="F12" s="13">
        <f>HLOOKUP("q2mod5",[1]data_rep!$1:$1048576,VLOOKUP("EnsFZ",[1]data_rep!$A$1:$B$200,2,FALSE),FALSE)</f>
        <v>16</v>
      </c>
      <c r="G12" s="13"/>
      <c r="H12" s="71"/>
      <c r="I12" s="69"/>
      <c r="J12" s="69"/>
      <c r="K12" s="69"/>
      <c r="L12" s="69"/>
      <c r="M12" s="69"/>
    </row>
    <row r="13" spans="1:13" x14ac:dyDescent="0.25">
      <c r="A13" s="6" t="s">
        <v>22</v>
      </c>
      <c r="B13" s="22">
        <f>HLOOKUP("q2mod1",[1]data_rep!$1:$1048576,VLOOKUP("EnsGZ",[1]data_rep!$A$1:$B$200,2,FALSE),FALSE)</f>
        <v>0.4</v>
      </c>
      <c r="C13" s="18">
        <f>HLOOKUP("q2mod2",[1]data_rep!$1:$1048576,VLOOKUP("EnsGZ",[1]data_rep!$A$1:$B$200,2,FALSE),FALSE)</f>
        <v>4.3999999999999995</v>
      </c>
      <c r="D13" s="18">
        <f>HLOOKUP("q2mod3",[1]data_rep!$1:$1048576,VLOOKUP("EnsGZ",[1]data_rep!$A$1:$B$200,2,FALSE),FALSE)</f>
        <v>35.199999999999996</v>
      </c>
      <c r="E13" s="18">
        <f>HLOOKUP("q2mod4",[1]data_rep!$1:$1048576,VLOOKUP("EnsGZ",[1]data_rep!$A$1:$B$200,2,FALSE),FALSE)</f>
        <v>38</v>
      </c>
      <c r="F13" s="13">
        <f>HLOOKUP("q2mod5",[1]data_rep!$1:$1048576,VLOOKUP("EnsGZ",[1]data_rep!$A$1:$B$200,2,FALSE),FALSE)</f>
        <v>22</v>
      </c>
      <c r="G13" s="13"/>
      <c r="H13" s="71"/>
      <c r="I13" s="69"/>
      <c r="J13" s="69"/>
      <c r="K13" s="69"/>
      <c r="L13" s="69"/>
      <c r="M13" s="69"/>
    </row>
    <row r="14" spans="1:13" x14ac:dyDescent="0.25">
      <c r="A14" s="6" t="s">
        <v>23</v>
      </c>
      <c r="B14" s="22">
        <f>HLOOKUP("q2mod1",[1]data_rep!$1:$1048576,VLOOKUP("EnsHZ",[1]data_rep!$A$1:$B$200,2,FALSE),FALSE)</f>
        <v>1</v>
      </c>
      <c r="C14" s="18">
        <f>HLOOKUP("q2mod2",[1]data_rep!$1:$1048576,VLOOKUP("EnsHZ",[1]data_rep!$A$1:$B$200,2,FALSE),FALSE)</f>
        <v>21.8</v>
      </c>
      <c r="D14" s="18">
        <f>HLOOKUP("q2mod3",[1]data_rep!$1:$1048576,VLOOKUP("EnsHZ",[1]data_rep!$A$1:$B$200,2,FALSE),FALSE)</f>
        <v>34</v>
      </c>
      <c r="E14" s="18">
        <f>HLOOKUP("q2mod4",[1]data_rep!$1:$1048576,VLOOKUP("EnsHZ",[1]data_rep!$A$1:$B$200,2,FALSE),FALSE)</f>
        <v>26.200000000000003</v>
      </c>
      <c r="F14" s="13">
        <f>HLOOKUP("q2mod5",[1]data_rep!$1:$1048576,VLOOKUP("EnsHZ",[1]data_rep!$A$1:$B$200,2,FALSE),FALSE)</f>
        <v>17</v>
      </c>
      <c r="G14" s="13"/>
      <c r="H14" s="71"/>
      <c r="I14" s="69"/>
      <c r="J14" s="69"/>
      <c r="K14" s="69"/>
      <c r="L14" s="69"/>
      <c r="M14" s="69"/>
    </row>
    <row r="15" spans="1:13" x14ac:dyDescent="0.25">
      <c r="A15" s="6" t="s">
        <v>24</v>
      </c>
      <c r="B15" s="22">
        <f>HLOOKUP("q2mod1",[1]data_rep!$1:$1048576,VLOOKUP("EnsIZ",[1]data_rep!$A$1:$B$200,2,FALSE),FALSE)</f>
        <v>12.2</v>
      </c>
      <c r="C15" s="18">
        <f>HLOOKUP("q2mod2",[1]data_rep!$1:$1048576,VLOOKUP("EnsIZ",[1]data_rep!$A$1:$B$200,2,FALSE),FALSE)</f>
        <v>44.9</v>
      </c>
      <c r="D15" s="18">
        <f>HLOOKUP("q2mod3",[1]data_rep!$1:$1048576,VLOOKUP("EnsIZ",[1]data_rep!$A$1:$B$200,2,FALSE),FALSE)</f>
        <v>30.8</v>
      </c>
      <c r="E15" s="18">
        <f>HLOOKUP("q2mod4",[1]data_rep!$1:$1048576,VLOOKUP("EnsIZ",[1]data_rep!$A$1:$B$200,2,FALSE),FALSE)</f>
        <v>9.7000000000000011</v>
      </c>
      <c r="F15" s="13">
        <f>HLOOKUP("q2mod5",[1]data_rep!$1:$1048576,VLOOKUP("EnsIZ",[1]data_rep!$A$1:$B$200,2,FALSE),FALSE)</f>
        <v>2.4</v>
      </c>
      <c r="G15" s="13"/>
      <c r="H15" s="71"/>
      <c r="I15" s="69"/>
      <c r="J15" s="69"/>
      <c r="K15" s="69"/>
      <c r="L15" s="69"/>
      <c r="M15" s="69"/>
    </row>
    <row r="16" spans="1:13" x14ac:dyDescent="0.25">
      <c r="A16" s="6" t="s">
        <v>25</v>
      </c>
      <c r="B16" s="22">
        <f>HLOOKUP("q2mod1",[1]data_rep!$1:$1048576,VLOOKUP("EnsJZ",[1]data_rep!$A$1:$B$200,2,FALSE),FALSE)</f>
        <v>0.2</v>
      </c>
      <c r="C16" s="18">
        <f>HLOOKUP("q2mod2",[1]data_rep!$1:$1048576,VLOOKUP("EnsJZ",[1]data_rep!$A$1:$B$200,2,FALSE),FALSE)</f>
        <v>7.0000000000000009</v>
      </c>
      <c r="D16" s="18">
        <f>HLOOKUP("q2mod3",[1]data_rep!$1:$1048576,VLOOKUP("EnsJZ",[1]data_rep!$A$1:$B$200,2,FALSE),FALSE)</f>
        <v>60.8</v>
      </c>
      <c r="E16" s="18">
        <f>HLOOKUP("q2mod4",[1]data_rep!$1:$1048576,VLOOKUP("EnsJZ",[1]data_rep!$A$1:$B$200,2,FALSE),FALSE)</f>
        <v>28.499999999999996</v>
      </c>
      <c r="F16" s="13">
        <f>HLOOKUP("q2mod5",[1]data_rep!$1:$1048576,VLOOKUP("EnsJZ",[1]data_rep!$A$1:$B$200,2,FALSE),FALSE)</f>
        <v>3.5000000000000004</v>
      </c>
      <c r="G16" s="13"/>
      <c r="H16" s="71"/>
      <c r="I16" s="69"/>
      <c r="J16" s="69"/>
      <c r="K16" s="69"/>
      <c r="L16" s="69"/>
      <c r="M16" s="69"/>
    </row>
    <row r="17" spans="1:13" x14ac:dyDescent="0.25">
      <c r="A17" s="6" t="s">
        <v>26</v>
      </c>
      <c r="B17" s="22">
        <f>HLOOKUP("q2mod1",[1]data_rep!$1:$1048576,VLOOKUP("EnsKZ",[1]data_rep!$A$1:$B$200,2,FALSE),FALSE)</f>
        <v>0</v>
      </c>
      <c r="C17" s="18">
        <f>HLOOKUP("q2mod2",[1]data_rep!$1:$1048576,VLOOKUP("EnsKZ",[1]data_rep!$A$1:$B$200,2,FALSE),FALSE)</f>
        <v>2.5</v>
      </c>
      <c r="D17" s="18">
        <f>HLOOKUP("q2mod3",[1]data_rep!$1:$1048576,VLOOKUP("EnsKZ",[1]data_rep!$A$1:$B$200,2,FALSE),FALSE)</f>
        <v>46.400000000000006</v>
      </c>
      <c r="E17" s="18">
        <f>HLOOKUP("q2mod4",[1]data_rep!$1:$1048576,VLOOKUP("EnsKZ",[1]data_rep!$A$1:$B$200,2,FALSE),FALSE)</f>
        <v>40.300000000000004</v>
      </c>
      <c r="F17" s="13">
        <f>HLOOKUP("q2mod5",[1]data_rep!$1:$1048576,VLOOKUP("EnsKZ",[1]data_rep!$A$1:$B$200,2,FALSE),FALSE)</f>
        <v>10.8</v>
      </c>
      <c r="G17" s="13"/>
      <c r="H17" s="71"/>
      <c r="I17" s="69"/>
      <c r="J17" s="69"/>
      <c r="K17" s="69"/>
      <c r="L17" s="69"/>
      <c r="M17" s="69"/>
    </row>
    <row r="18" spans="1:13" x14ac:dyDescent="0.25">
      <c r="A18" s="6" t="s">
        <v>27</v>
      </c>
      <c r="B18" s="22" t="str">
        <f>HLOOKUP("q2mod1",[1]data_rep!$1:$1048576,VLOOKUP("EnsLZ",[1]data_rep!$A$1:$B$200,2,FALSE),FALSE)</f>
        <v>nd</v>
      </c>
      <c r="C18" s="18" t="s">
        <v>92</v>
      </c>
      <c r="D18" s="18">
        <f>HLOOKUP("q2mod3",[1]data_rep!$1:$1048576,VLOOKUP("EnsLZ",[1]data_rep!$A$1:$B$200,2,FALSE),FALSE)</f>
        <v>20.7</v>
      </c>
      <c r="E18" s="18">
        <f>HLOOKUP("q2mod4",[1]data_rep!$1:$1048576,VLOOKUP("EnsLZ",[1]data_rep!$A$1:$B$200,2,FALSE),FALSE)</f>
        <v>66.900000000000006</v>
      </c>
      <c r="F18" s="13">
        <f>HLOOKUP("q2mod5",[1]data_rep!$1:$1048576,VLOOKUP("EnsLZ",[1]data_rep!$A$1:$B$200,2,FALSE),FALSE)</f>
        <v>7.0000000000000009</v>
      </c>
      <c r="G18" s="13">
        <f>100-SUM(B18:F18)</f>
        <v>5.3999999999999915</v>
      </c>
      <c r="H18" s="71"/>
      <c r="I18" s="69"/>
      <c r="J18" s="69"/>
      <c r="K18" s="69"/>
      <c r="L18" s="69"/>
      <c r="M18" s="69"/>
    </row>
    <row r="19" spans="1:13" x14ac:dyDescent="0.25">
      <c r="A19" s="6" t="s">
        <v>28</v>
      </c>
      <c r="B19" s="22">
        <f>HLOOKUP("q2mod1",[1]data_rep!$1:$1048576,VLOOKUP("EnsMN",[1]data_rep!$A$1:$B$200,2,FALSE),FALSE)</f>
        <v>1.4000000000000001</v>
      </c>
      <c r="C19" s="18">
        <f>HLOOKUP("q2mod2",[1]data_rep!$1:$1048576,VLOOKUP("EnsMN",[1]data_rep!$A$1:$B$200,2,FALSE),FALSE)</f>
        <v>12.7</v>
      </c>
      <c r="D19" s="18">
        <f>HLOOKUP("q2mod3",[1]data_rep!$1:$1048576,VLOOKUP("EnsMN",[1]data_rep!$A$1:$B$200,2,FALSE),FALSE)</f>
        <v>43.1</v>
      </c>
      <c r="E19" s="18">
        <f>HLOOKUP("q2mod4",[1]data_rep!$1:$1048576,VLOOKUP("EnsMN",[1]data_rep!$A$1:$B$200,2,FALSE),FALSE)</f>
        <v>34.4</v>
      </c>
      <c r="F19" s="13">
        <f>HLOOKUP("q2mod5",[1]data_rep!$1:$1048576,VLOOKUP("EnsMN",[1]data_rep!$A$1:$B$200,2,FALSE),FALSE)</f>
        <v>8.3000000000000007</v>
      </c>
      <c r="G19" s="13"/>
      <c r="H19" s="71"/>
      <c r="I19" s="69"/>
      <c r="J19" s="69"/>
      <c r="K19" s="69"/>
      <c r="L19" s="69"/>
      <c r="M19" s="69"/>
    </row>
    <row r="20" spans="1:13" x14ac:dyDescent="0.25">
      <c r="A20" s="6" t="s">
        <v>29</v>
      </c>
      <c r="B20" s="22">
        <f>HLOOKUP("q2mod1",[1]data_rep!$1:$1048576,VLOOKUP("EnsOQ",[1]data_rep!$A$1:$B$200,2,FALSE),FALSE)</f>
        <v>0.5</v>
      </c>
      <c r="C20" s="18">
        <f>HLOOKUP("q2mod2",[1]data_rep!$1:$1048576,VLOOKUP("EnsOQ",[1]data_rep!$A$1:$B$200,2,FALSE),FALSE)</f>
        <v>7.7</v>
      </c>
      <c r="D20" s="18">
        <f>HLOOKUP("q2mod3",[1]data_rep!$1:$1048576,VLOOKUP("EnsOQ",[1]data_rep!$A$1:$B$200,2,FALSE),FALSE)</f>
        <v>33.1</v>
      </c>
      <c r="E20" s="18">
        <f>HLOOKUP("q2mod4",[1]data_rep!$1:$1048576,VLOOKUP("EnsOQ",[1]data_rep!$A$1:$B$200,2,FALSE),FALSE)</f>
        <v>47</v>
      </c>
      <c r="F20" s="13">
        <f>HLOOKUP("q2mod5",[1]data_rep!$1:$1048576,VLOOKUP("EnsOQ",[1]data_rep!$A$1:$B$200,2,FALSE),FALSE)</f>
        <v>11.600000000000001</v>
      </c>
      <c r="G20" s="13"/>
      <c r="H20" s="71"/>
      <c r="I20" s="69"/>
      <c r="J20" s="69"/>
      <c r="K20" s="69"/>
      <c r="L20" s="69"/>
      <c r="M20" s="69"/>
    </row>
    <row r="21" spans="1:13" x14ac:dyDescent="0.25">
      <c r="A21" s="7" t="s">
        <v>30</v>
      </c>
      <c r="B21" s="23">
        <f>HLOOKUP("q2mod1",[1]data_rep!$1:$1048576,VLOOKUP("EnsRU",[1]data_rep!$A$1:$B$200,2,FALSE),FALSE)</f>
        <v>8.3000000000000007</v>
      </c>
      <c r="C21" s="20">
        <f>HLOOKUP("q2mod2",[1]data_rep!$1:$1048576,VLOOKUP("EnsRU",[1]data_rep!$A$1:$B$200,2,FALSE),FALSE)</f>
        <v>23.400000000000002</v>
      </c>
      <c r="D21" s="20">
        <f>HLOOKUP("q2mod3",[1]data_rep!$1:$1048576,VLOOKUP("EnsRU",[1]data_rep!$A$1:$B$200,2,FALSE),FALSE)</f>
        <v>27.200000000000003</v>
      </c>
      <c r="E21" s="20">
        <f>HLOOKUP("q2mod4",[1]data_rep!$1:$1048576,VLOOKUP("EnsRU",[1]data_rep!$A$1:$B$200,2,FALSE),FALSE)</f>
        <v>35</v>
      </c>
      <c r="F21" s="14">
        <f>HLOOKUP("q2mod5",[1]data_rep!$1:$1048576,VLOOKUP("EnsRU",[1]data_rep!$A$1:$B$200,2,FALSE),FALSE)</f>
        <v>6</v>
      </c>
      <c r="G21" s="14"/>
      <c r="H21" s="71"/>
      <c r="I21" s="69"/>
      <c r="J21" s="69"/>
      <c r="K21" s="69"/>
      <c r="L21" s="69"/>
      <c r="M21" s="69"/>
    </row>
    <row r="22" spans="1:13" x14ac:dyDescent="0.25">
      <c r="A22" s="8" t="s">
        <v>116</v>
      </c>
      <c r="B22" s="71"/>
      <c r="C22" s="71"/>
      <c r="D22" s="71"/>
      <c r="E22" s="71"/>
      <c r="F22" s="71"/>
      <c r="H22" s="71"/>
      <c r="I22" s="71"/>
      <c r="J22" s="71"/>
      <c r="K22" s="71"/>
      <c r="L22" s="71"/>
    </row>
    <row r="23" spans="1:13" x14ac:dyDescent="0.25">
      <c r="A23" s="8" t="s">
        <v>7</v>
      </c>
      <c r="B23" s="71"/>
      <c r="C23" s="71"/>
      <c r="D23" s="71"/>
      <c r="E23" s="71"/>
      <c r="F23" s="71"/>
    </row>
    <row r="24" spans="1:13" s="70" customFormat="1" x14ac:dyDescent="0.25">
      <c r="A24" s="63"/>
    </row>
    <row r="28" spans="1:13" x14ac:dyDescent="0.25">
      <c r="H28" s="61"/>
    </row>
  </sheetData>
  <hyperlinks>
    <hyperlink ref="G1" location="'Lisez-moi'!A1" display="Retour au sommaire"/>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Q31"/>
  <sheetViews>
    <sheetView workbookViewId="0">
      <selection activeCell="N16" sqref="N16"/>
    </sheetView>
  </sheetViews>
  <sheetFormatPr baseColWidth="10" defaultRowHeight="15" x14ac:dyDescent="0.25"/>
  <cols>
    <col min="1" max="1" width="90.28515625" style="71" customWidth="1"/>
    <col min="2" max="16384" width="11.42578125" style="71"/>
  </cols>
  <sheetData>
    <row r="1" spans="1:17" x14ac:dyDescent="0.25">
      <c r="A1" s="4" t="s">
        <v>216</v>
      </c>
      <c r="F1" s="76" t="s">
        <v>111</v>
      </c>
    </row>
    <row r="3" spans="1:17" x14ac:dyDescent="0.25">
      <c r="A3" s="71" t="s">
        <v>215</v>
      </c>
    </row>
    <row r="5" spans="1:17" x14ac:dyDescent="0.25">
      <c r="B5" s="72" t="s">
        <v>0</v>
      </c>
      <c r="C5" s="34" t="s">
        <v>8</v>
      </c>
      <c r="D5" s="31" t="s">
        <v>9</v>
      </c>
      <c r="E5" s="31" t="s">
        <v>10</v>
      </c>
      <c r="F5" s="31" t="s">
        <v>11</v>
      </c>
      <c r="G5" s="31" t="s">
        <v>12</v>
      </c>
      <c r="H5" s="32" t="s">
        <v>13</v>
      </c>
    </row>
    <row r="6" spans="1:17" x14ac:dyDescent="0.25">
      <c r="A6" s="5" t="s">
        <v>73</v>
      </c>
      <c r="B6" s="21">
        <v>25.1</v>
      </c>
      <c r="C6" s="22">
        <v>19.5</v>
      </c>
      <c r="D6" s="18">
        <v>21.6</v>
      </c>
      <c r="E6" s="18">
        <v>24.2</v>
      </c>
      <c r="F6" s="18">
        <v>22.6</v>
      </c>
      <c r="G6" s="18">
        <v>22.7</v>
      </c>
      <c r="H6" s="13">
        <v>29.4</v>
      </c>
      <c r="J6" s="69"/>
      <c r="K6" s="69"/>
      <c r="L6" s="69"/>
      <c r="M6" s="69"/>
      <c r="N6" s="69"/>
      <c r="O6" s="69"/>
      <c r="P6" s="69"/>
      <c r="Q6" s="69"/>
    </row>
    <row r="7" spans="1:17" x14ac:dyDescent="0.25">
      <c r="A7" s="7" t="s">
        <v>74</v>
      </c>
      <c r="B7" s="23">
        <v>25.3</v>
      </c>
      <c r="C7" s="23">
        <v>16.8</v>
      </c>
      <c r="D7" s="20">
        <v>17.899999999999999</v>
      </c>
      <c r="E7" s="20">
        <v>22.3</v>
      </c>
      <c r="F7" s="20">
        <v>21.9</v>
      </c>
      <c r="G7" s="20">
        <v>21.6</v>
      </c>
      <c r="H7" s="14">
        <v>33.200000000000003</v>
      </c>
      <c r="J7" s="69"/>
      <c r="K7" s="69"/>
      <c r="L7" s="69"/>
      <c r="M7" s="69"/>
      <c r="N7" s="69"/>
      <c r="O7" s="69"/>
      <c r="P7" s="69"/>
      <c r="Q7" s="69"/>
    </row>
    <row r="8" spans="1:17" x14ac:dyDescent="0.25">
      <c r="A8" s="8" t="s">
        <v>116</v>
      </c>
    </row>
    <row r="9" spans="1:17" x14ac:dyDescent="0.25">
      <c r="A9" s="8" t="s">
        <v>7</v>
      </c>
    </row>
    <row r="10" spans="1:17" x14ac:dyDescent="0.25">
      <c r="A10" s="63"/>
    </row>
    <row r="11" spans="1:17" x14ac:dyDescent="0.25">
      <c r="A11" s="63"/>
    </row>
    <row r="12" spans="1:17" x14ac:dyDescent="0.25">
      <c r="A12" s="63"/>
    </row>
    <row r="13" spans="1:17" x14ac:dyDescent="0.25">
      <c r="A13" s="63"/>
    </row>
    <row r="14" spans="1:17" x14ac:dyDescent="0.25">
      <c r="A14" s="63"/>
    </row>
    <row r="15" spans="1:17" x14ac:dyDescent="0.25">
      <c r="A15" s="63"/>
    </row>
    <row r="16" spans="1:17" x14ac:dyDescent="0.25">
      <c r="A16" s="63"/>
    </row>
    <row r="17" spans="1:1" x14ac:dyDescent="0.25">
      <c r="A17" s="63"/>
    </row>
    <row r="18" spans="1:1" x14ac:dyDescent="0.25">
      <c r="A18" s="63"/>
    </row>
    <row r="19" spans="1:1" x14ac:dyDescent="0.25">
      <c r="A19" s="63"/>
    </row>
    <row r="20" spans="1:1" x14ac:dyDescent="0.25">
      <c r="A20" s="63"/>
    </row>
    <row r="21" spans="1:1" x14ac:dyDescent="0.25">
      <c r="A21" s="63"/>
    </row>
    <row r="22" spans="1:1" x14ac:dyDescent="0.25">
      <c r="A22" s="63"/>
    </row>
    <row r="23" spans="1:1" x14ac:dyDescent="0.25">
      <c r="A23" s="63"/>
    </row>
    <row r="24" spans="1:1" x14ac:dyDescent="0.25">
      <c r="A24" s="63"/>
    </row>
    <row r="25" spans="1:1" x14ac:dyDescent="0.25">
      <c r="A25" s="63"/>
    </row>
    <row r="26" spans="1:1" x14ac:dyDescent="0.25">
      <c r="A26" s="63"/>
    </row>
    <row r="27" spans="1:1" x14ac:dyDescent="0.25">
      <c r="A27" s="63"/>
    </row>
    <row r="28" spans="1:1" x14ac:dyDescent="0.25">
      <c r="A28" s="63"/>
    </row>
    <row r="29" spans="1:1" x14ac:dyDescent="0.25">
      <c r="A29" s="63"/>
    </row>
    <row r="30" spans="1:1" x14ac:dyDescent="0.25">
      <c r="A30" s="63"/>
    </row>
    <row r="31" spans="1:1" x14ac:dyDescent="0.25">
      <c r="A31" s="63"/>
    </row>
  </sheetData>
  <hyperlinks>
    <hyperlink ref="F1" location="'Lisez-moi'!A1" display="Retour au sommaire"/>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F24"/>
  <sheetViews>
    <sheetView topLeftCell="A10" workbookViewId="0">
      <selection activeCell="M44" sqref="M44"/>
    </sheetView>
  </sheetViews>
  <sheetFormatPr baseColWidth="10" defaultRowHeight="15" x14ac:dyDescent="0.25"/>
  <cols>
    <col min="1" max="1" width="90.28515625" customWidth="1"/>
  </cols>
  <sheetData>
    <row r="1" spans="1:6" x14ac:dyDescent="0.25">
      <c r="A1" s="4" t="s">
        <v>216</v>
      </c>
      <c r="E1" s="76" t="s">
        <v>111</v>
      </c>
    </row>
    <row r="3" spans="1:6" x14ac:dyDescent="0.25">
      <c r="A3" s="3" t="s">
        <v>217</v>
      </c>
    </row>
    <row r="4" spans="1:6" s="71" customFormat="1" x14ac:dyDescent="0.25"/>
    <row r="5" spans="1:6" ht="107.25" x14ac:dyDescent="0.25">
      <c r="B5" s="51" t="s">
        <v>73</v>
      </c>
      <c r="C5" s="50" t="s">
        <v>74</v>
      </c>
    </row>
    <row r="6" spans="1:6" x14ac:dyDescent="0.25">
      <c r="A6" s="42" t="s">
        <v>0</v>
      </c>
      <c r="B6" s="56">
        <v>25.1</v>
      </c>
      <c r="C6" s="55">
        <v>25.3</v>
      </c>
      <c r="E6" s="69"/>
      <c r="F6" s="69"/>
    </row>
    <row r="7" spans="1:6" x14ac:dyDescent="0.25">
      <c r="A7" s="6" t="s">
        <v>51</v>
      </c>
      <c r="B7" s="22">
        <v>6.9</v>
      </c>
      <c r="C7" s="13">
        <v>6.9</v>
      </c>
      <c r="E7" s="69"/>
      <c r="F7" s="69"/>
    </row>
    <row r="8" spans="1:6" x14ac:dyDescent="0.25">
      <c r="A8" s="6" t="s">
        <v>16</v>
      </c>
      <c r="B8" s="22">
        <v>22</v>
      </c>
      <c r="C8" s="13">
        <v>10.4</v>
      </c>
      <c r="E8" s="69"/>
      <c r="F8" s="69"/>
    </row>
    <row r="9" spans="1:6" x14ac:dyDescent="0.25">
      <c r="A9" s="6" t="s">
        <v>17</v>
      </c>
      <c r="B9" s="22" t="s">
        <v>92</v>
      </c>
      <c r="C9" s="13" t="s">
        <v>92</v>
      </c>
      <c r="E9" s="69"/>
      <c r="F9" s="69"/>
    </row>
    <row r="10" spans="1:6" x14ac:dyDescent="0.25">
      <c r="A10" s="6" t="s">
        <v>18</v>
      </c>
      <c r="B10" s="22">
        <v>13.600000000000001</v>
      </c>
      <c r="C10" s="13">
        <v>11.700000000000001</v>
      </c>
      <c r="E10" s="69"/>
      <c r="F10" s="69"/>
    </row>
    <row r="11" spans="1:6" x14ac:dyDescent="0.25">
      <c r="A11" s="6" t="s">
        <v>19</v>
      </c>
      <c r="B11" s="22">
        <v>13.900000000000002</v>
      </c>
      <c r="C11" s="13">
        <v>18</v>
      </c>
      <c r="E11" s="69"/>
      <c r="F11" s="69"/>
    </row>
    <row r="12" spans="1:6" x14ac:dyDescent="0.25">
      <c r="A12" s="6" t="s">
        <v>20</v>
      </c>
      <c r="B12" s="22">
        <v>11</v>
      </c>
      <c r="C12" s="13">
        <v>18.3</v>
      </c>
      <c r="E12" s="69"/>
      <c r="F12" s="69"/>
    </row>
    <row r="13" spans="1:6" x14ac:dyDescent="0.25">
      <c r="A13" s="6" t="s">
        <v>21</v>
      </c>
      <c r="B13" s="22">
        <v>6.5</v>
      </c>
      <c r="C13" s="13">
        <v>6.8000000000000007</v>
      </c>
      <c r="E13" s="69"/>
      <c r="F13" s="69"/>
    </row>
    <row r="14" spans="1:6" x14ac:dyDescent="0.25">
      <c r="A14" s="6" t="s">
        <v>22</v>
      </c>
      <c r="B14" s="22">
        <v>25.7</v>
      </c>
      <c r="C14" s="13">
        <v>33.6</v>
      </c>
      <c r="E14" s="69"/>
      <c r="F14" s="69"/>
    </row>
    <row r="15" spans="1:6" x14ac:dyDescent="0.25">
      <c r="A15" s="6" t="s">
        <v>23</v>
      </c>
      <c r="B15" s="22">
        <v>27.3</v>
      </c>
      <c r="C15" s="13">
        <v>18</v>
      </c>
      <c r="E15" s="69"/>
      <c r="F15" s="69"/>
    </row>
    <row r="16" spans="1:6" x14ac:dyDescent="0.25">
      <c r="A16" s="6" t="s">
        <v>24</v>
      </c>
      <c r="B16" s="22">
        <v>60.9</v>
      </c>
      <c r="C16" s="13">
        <v>35.699999999999996</v>
      </c>
      <c r="E16" s="69"/>
      <c r="F16" s="69"/>
    </row>
    <row r="17" spans="1:6" x14ac:dyDescent="0.25">
      <c r="A17" s="6" t="s">
        <v>25</v>
      </c>
      <c r="B17" s="22">
        <v>33.1</v>
      </c>
      <c r="C17" s="13">
        <v>39.1</v>
      </c>
      <c r="E17" s="69"/>
      <c r="F17" s="69"/>
    </row>
    <row r="18" spans="1:6" x14ac:dyDescent="0.25">
      <c r="A18" s="6" t="s">
        <v>26</v>
      </c>
      <c r="B18" s="22">
        <v>17.100000000000001</v>
      </c>
      <c r="C18" s="13">
        <v>35.799999999999997</v>
      </c>
      <c r="E18" s="69"/>
      <c r="F18" s="69"/>
    </row>
    <row r="19" spans="1:6" x14ac:dyDescent="0.25">
      <c r="A19" s="6" t="s">
        <v>27</v>
      </c>
      <c r="B19" s="22">
        <v>17.100000000000001</v>
      </c>
      <c r="C19" s="13">
        <v>25.2</v>
      </c>
      <c r="E19" s="69"/>
      <c r="F19" s="69"/>
    </row>
    <row r="20" spans="1:6" x14ac:dyDescent="0.25">
      <c r="A20" s="6" t="s">
        <v>28</v>
      </c>
      <c r="B20" s="22">
        <v>24.2</v>
      </c>
      <c r="C20" s="13">
        <v>31.900000000000002</v>
      </c>
      <c r="E20" s="69"/>
      <c r="F20" s="69"/>
    </row>
    <row r="21" spans="1:6" x14ac:dyDescent="0.25">
      <c r="A21" s="6" t="s">
        <v>29</v>
      </c>
      <c r="B21" s="22">
        <v>33.700000000000003</v>
      </c>
      <c r="C21" s="13">
        <v>23.1</v>
      </c>
      <c r="E21" s="69"/>
      <c r="F21" s="69"/>
    </row>
    <row r="22" spans="1:6" x14ac:dyDescent="0.25">
      <c r="A22" s="7" t="s">
        <v>30</v>
      </c>
      <c r="B22" s="23">
        <v>43.7</v>
      </c>
      <c r="C22" s="14">
        <v>25.5</v>
      </c>
      <c r="E22" s="69"/>
      <c r="F22" s="69"/>
    </row>
    <row r="23" spans="1:6" x14ac:dyDescent="0.25">
      <c r="A23" s="8" t="s">
        <v>116</v>
      </c>
    </row>
    <row r="24" spans="1:6" x14ac:dyDescent="0.25">
      <c r="A24" s="8" t="s">
        <v>7</v>
      </c>
    </row>
  </sheetData>
  <hyperlinks>
    <hyperlink ref="E1" location="'Lisez-moi'!A1" display="Retour au sommaire"/>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E28"/>
  <sheetViews>
    <sheetView workbookViewId="0">
      <selection activeCell="K21" sqref="K21"/>
    </sheetView>
  </sheetViews>
  <sheetFormatPr baseColWidth="10" defaultRowHeight="15" x14ac:dyDescent="0.25"/>
  <cols>
    <col min="1" max="1" width="91.140625" style="71" customWidth="1"/>
    <col min="2" max="16384" width="11.42578125" style="71"/>
  </cols>
  <sheetData>
    <row r="1" spans="1:5" x14ac:dyDescent="0.25">
      <c r="A1" s="4" t="s">
        <v>218</v>
      </c>
      <c r="E1" s="76" t="s">
        <v>111</v>
      </c>
    </row>
    <row r="4" spans="1:5" x14ac:dyDescent="0.25">
      <c r="A4" s="71" t="s">
        <v>219</v>
      </c>
    </row>
    <row r="5" spans="1:5" s="95" customFormat="1" x14ac:dyDescent="0.25"/>
    <row r="6" spans="1:5" x14ac:dyDescent="0.25">
      <c r="A6" s="5" t="s">
        <v>56</v>
      </c>
      <c r="B6" s="12">
        <v>25.5</v>
      </c>
    </row>
    <row r="7" spans="1:5" x14ac:dyDescent="0.25">
      <c r="A7" s="6" t="s">
        <v>57</v>
      </c>
      <c r="B7" s="13">
        <v>25.3</v>
      </c>
    </row>
    <row r="8" spans="1:5" x14ac:dyDescent="0.25">
      <c r="A8" s="7" t="s">
        <v>75</v>
      </c>
      <c r="B8" s="14">
        <v>49.3</v>
      </c>
    </row>
    <row r="9" spans="1:5" x14ac:dyDescent="0.25">
      <c r="A9" s="8" t="s">
        <v>116</v>
      </c>
    </row>
    <row r="10" spans="1:5" x14ac:dyDescent="0.25">
      <c r="A10" s="8" t="s">
        <v>7</v>
      </c>
    </row>
    <row r="11" spans="1:5" x14ac:dyDescent="0.25">
      <c r="A11" s="63"/>
    </row>
    <row r="12" spans="1:5" x14ac:dyDescent="0.25">
      <c r="A12" s="63"/>
    </row>
    <row r="13" spans="1:5" x14ac:dyDescent="0.25">
      <c r="A13" s="63"/>
    </row>
    <row r="14" spans="1:5" x14ac:dyDescent="0.25">
      <c r="A14" s="63"/>
    </row>
    <row r="15" spans="1:5" x14ac:dyDescent="0.25">
      <c r="A15" s="63"/>
    </row>
    <row r="16" spans="1:5" x14ac:dyDescent="0.25">
      <c r="A16" s="63"/>
    </row>
    <row r="17" spans="1:1" x14ac:dyDescent="0.25">
      <c r="A17" s="63"/>
    </row>
    <row r="18" spans="1:1" x14ac:dyDescent="0.25">
      <c r="A18" s="63"/>
    </row>
    <row r="19" spans="1:1" x14ac:dyDescent="0.25">
      <c r="A19" s="63"/>
    </row>
    <row r="20" spans="1:1" x14ac:dyDescent="0.25">
      <c r="A20" s="63"/>
    </row>
    <row r="21" spans="1:1" x14ac:dyDescent="0.25">
      <c r="A21" s="63"/>
    </row>
    <row r="22" spans="1:1" x14ac:dyDescent="0.25">
      <c r="A22" s="63"/>
    </row>
    <row r="23" spans="1:1" x14ac:dyDescent="0.25">
      <c r="A23" s="63"/>
    </row>
    <row r="24" spans="1:1" x14ac:dyDescent="0.25">
      <c r="A24" s="63"/>
    </row>
    <row r="25" spans="1:1" x14ac:dyDescent="0.25">
      <c r="A25" s="63"/>
    </row>
    <row r="26" spans="1:1" x14ac:dyDescent="0.25">
      <c r="A26" s="63"/>
    </row>
    <row r="27" spans="1:1" x14ac:dyDescent="0.25">
      <c r="A27" s="63"/>
    </row>
    <row r="28" spans="1:1" x14ac:dyDescent="0.25">
      <c r="A28" s="63"/>
    </row>
  </sheetData>
  <hyperlinks>
    <hyperlink ref="E1" location="'Lisez-moi'!A1" display="Retour au sommaire"/>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Q31"/>
  <sheetViews>
    <sheetView workbookViewId="0">
      <selection activeCell="J13" sqref="J13"/>
    </sheetView>
  </sheetViews>
  <sheetFormatPr baseColWidth="10" defaultRowHeight="15" x14ac:dyDescent="0.25"/>
  <cols>
    <col min="1" max="1" width="91.140625" style="71" customWidth="1"/>
    <col min="2" max="16384" width="11.42578125" style="71"/>
  </cols>
  <sheetData>
    <row r="1" spans="1:17" x14ac:dyDescent="0.25">
      <c r="A1" s="97" t="s">
        <v>218</v>
      </c>
      <c r="B1" s="95"/>
      <c r="C1" s="95"/>
      <c r="D1" s="95"/>
      <c r="E1" s="129" t="s">
        <v>111</v>
      </c>
      <c r="F1" s="95"/>
      <c r="G1" s="95"/>
      <c r="H1" s="95"/>
      <c r="I1" s="95"/>
      <c r="J1" s="95"/>
      <c r="K1" s="95"/>
      <c r="L1" s="95"/>
      <c r="M1" s="95"/>
      <c r="N1" s="95"/>
      <c r="O1" s="95"/>
      <c r="P1" s="95"/>
      <c r="Q1" s="95"/>
    </row>
    <row r="3" spans="1:17" x14ac:dyDescent="0.25">
      <c r="A3" s="95" t="s">
        <v>220</v>
      </c>
      <c r="B3" s="95"/>
      <c r="C3" s="95"/>
      <c r="D3" s="95"/>
      <c r="E3" s="95"/>
      <c r="F3" s="95"/>
      <c r="G3" s="95"/>
      <c r="H3" s="95"/>
      <c r="I3" s="95"/>
      <c r="J3" s="95"/>
      <c r="K3" s="95"/>
      <c r="L3" s="95"/>
      <c r="M3" s="95"/>
      <c r="N3" s="95"/>
      <c r="O3" s="95"/>
      <c r="P3" s="95"/>
      <c r="Q3" s="95"/>
    </row>
    <row r="4" spans="1:17" s="95" customFormat="1" x14ac:dyDescent="0.25"/>
    <row r="5" spans="1:17" x14ac:dyDescent="0.25">
      <c r="A5" s="95"/>
      <c r="B5" s="113" t="s">
        <v>0</v>
      </c>
      <c r="C5" s="110" t="s">
        <v>8</v>
      </c>
      <c r="D5" s="111" t="s">
        <v>9</v>
      </c>
      <c r="E5" s="111" t="s">
        <v>10</v>
      </c>
      <c r="F5" s="111" t="s">
        <v>11</v>
      </c>
      <c r="G5" s="111" t="s">
        <v>12</v>
      </c>
      <c r="H5" s="112" t="s">
        <v>13</v>
      </c>
      <c r="I5" s="95"/>
      <c r="J5" s="95"/>
      <c r="K5" s="95"/>
      <c r="L5" s="95"/>
      <c r="M5" s="95"/>
      <c r="N5" s="95"/>
      <c r="O5" s="95"/>
      <c r="P5" s="95"/>
      <c r="Q5" s="95"/>
    </row>
    <row r="6" spans="1:17" x14ac:dyDescent="0.25">
      <c r="A6" s="98" t="s">
        <v>56</v>
      </c>
      <c r="B6" s="114">
        <v>25.5</v>
      </c>
      <c r="C6" s="106">
        <v>18.600000000000001</v>
      </c>
      <c r="D6" s="106">
        <v>19.8</v>
      </c>
      <c r="E6" s="106">
        <v>22.5</v>
      </c>
      <c r="F6" s="106">
        <v>19.3</v>
      </c>
      <c r="G6" s="106">
        <v>22.2</v>
      </c>
      <c r="H6" s="103">
        <v>33.300000000000004</v>
      </c>
      <c r="I6" s="95"/>
      <c r="J6" s="128"/>
      <c r="K6" s="128"/>
      <c r="L6" s="128"/>
      <c r="M6" s="128"/>
      <c r="N6" s="128"/>
      <c r="O6" s="128"/>
      <c r="P6" s="128"/>
      <c r="Q6" s="128"/>
    </row>
    <row r="7" spans="1:17" x14ac:dyDescent="0.25">
      <c r="A7" s="99" t="s">
        <v>57</v>
      </c>
      <c r="B7" s="115">
        <v>25.3</v>
      </c>
      <c r="C7" s="106">
        <v>26.200000000000003</v>
      </c>
      <c r="D7" s="106">
        <v>25.4</v>
      </c>
      <c r="E7" s="106">
        <v>26.5</v>
      </c>
      <c r="F7" s="106">
        <v>27.700000000000003</v>
      </c>
      <c r="G7" s="106">
        <v>27.6</v>
      </c>
      <c r="H7" s="103">
        <v>23.200000000000003</v>
      </c>
      <c r="I7" s="95"/>
      <c r="J7" s="128"/>
      <c r="K7" s="128"/>
      <c r="L7" s="128"/>
      <c r="M7" s="128"/>
      <c r="N7" s="128"/>
      <c r="O7" s="128"/>
      <c r="P7" s="128"/>
      <c r="Q7" s="128"/>
    </row>
    <row r="8" spans="1:17" x14ac:dyDescent="0.25">
      <c r="A8" s="100" t="s">
        <v>75</v>
      </c>
      <c r="B8" s="116">
        <v>49.3</v>
      </c>
      <c r="C8" s="107">
        <v>55.300000000000004</v>
      </c>
      <c r="D8" s="107">
        <v>54.800000000000004</v>
      </c>
      <c r="E8" s="107">
        <v>51</v>
      </c>
      <c r="F8" s="107">
        <v>53</v>
      </c>
      <c r="G8" s="107">
        <v>50.2</v>
      </c>
      <c r="H8" s="104">
        <v>43.5</v>
      </c>
      <c r="I8" s="95"/>
      <c r="J8" s="128"/>
      <c r="K8" s="128"/>
      <c r="L8" s="128"/>
      <c r="M8" s="128"/>
      <c r="N8" s="128"/>
      <c r="O8" s="128"/>
      <c r="P8" s="128"/>
      <c r="Q8" s="128"/>
    </row>
    <row r="9" spans="1:17" x14ac:dyDescent="0.25">
      <c r="A9" s="101" t="s">
        <v>116</v>
      </c>
      <c r="B9" s="95"/>
      <c r="C9" s="95"/>
      <c r="D9" s="95"/>
      <c r="E9" s="95"/>
      <c r="F9" s="95"/>
      <c r="G9" s="95"/>
      <c r="H9" s="95"/>
      <c r="I9" s="95"/>
      <c r="J9" s="95"/>
      <c r="K9" s="95"/>
      <c r="L9" s="95"/>
      <c r="M9" s="95"/>
      <c r="N9" s="95"/>
      <c r="O9" s="95"/>
      <c r="P9" s="95"/>
      <c r="Q9" s="95"/>
    </row>
    <row r="10" spans="1:17" x14ac:dyDescent="0.25">
      <c r="A10" s="101" t="s">
        <v>7</v>
      </c>
      <c r="B10" s="95"/>
      <c r="C10" s="95"/>
      <c r="D10" s="95"/>
      <c r="E10" s="95"/>
      <c r="F10" s="95"/>
      <c r="G10" s="95"/>
      <c r="H10" s="95"/>
      <c r="I10" s="95"/>
      <c r="J10" s="95"/>
      <c r="K10" s="95"/>
      <c r="L10" s="95"/>
      <c r="M10" s="95"/>
      <c r="N10" s="95"/>
      <c r="O10" s="95"/>
      <c r="P10" s="95"/>
      <c r="Q10" s="95"/>
    </row>
    <row r="11" spans="1:17" x14ac:dyDescent="0.25">
      <c r="A11" s="126"/>
      <c r="B11" s="95"/>
      <c r="C11" s="95"/>
      <c r="D11" s="95"/>
      <c r="E11" s="95"/>
      <c r="F11" s="95"/>
      <c r="G11" s="95"/>
      <c r="H11" s="95"/>
      <c r="I11" s="95"/>
      <c r="J11" s="95"/>
      <c r="K11" s="95"/>
      <c r="L11" s="95"/>
      <c r="M11" s="95"/>
      <c r="N11" s="95"/>
      <c r="O11" s="95"/>
      <c r="P11" s="95"/>
      <c r="Q11" s="95"/>
    </row>
    <row r="12" spans="1:17" x14ac:dyDescent="0.25">
      <c r="A12" s="126"/>
      <c r="B12" s="95"/>
      <c r="C12" s="95"/>
      <c r="D12" s="95"/>
      <c r="E12" s="95"/>
      <c r="F12" s="95"/>
      <c r="G12" s="95"/>
      <c r="H12" s="95"/>
      <c r="I12" s="95"/>
      <c r="J12" s="95"/>
      <c r="K12" s="95"/>
      <c r="L12" s="95"/>
      <c r="M12" s="95"/>
      <c r="N12" s="95"/>
      <c r="O12" s="95"/>
      <c r="P12" s="95"/>
      <c r="Q12" s="95"/>
    </row>
    <row r="13" spans="1:17" x14ac:dyDescent="0.25">
      <c r="A13" s="126"/>
      <c r="B13" s="95"/>
      <c r="C13" s="95"/>
      <c r="D13" s="95"/>
      <c r="E13" s="95"/>
      <c r="F13" s="95"/>
      <c r="G13" s="95"/>
      <c r="H13" s="95"/>
      <c r="I13" s="95"/>
      <c r="J13" s="95"/>
      <c r="K13" s="95"/>
      <c r="L13" s="95"/>
      <c r="M13" s="95"/>
      <c r="N13" s="95"/>
      <c r="O13" s="95"/>
      <c r="P13" s="95"/>
      <c r="Q13" s="95"/>
    </row>
    <row r="14" spans="1:17" x14ac:dyDescent="0.25">
      <c r="A14" s="126"/>
      <c r="B14" s="95"/>
      <c r="C14" s="95"/>
      <c r="D14" s="95"/>
      <c r="E14" s="95"/>
      <c r="F14" s="95"/>
      <c r="G14" s="95"/>
      <c r="H14" s="95"/>
      <c r="I14" s="95"/>
      <c r="J14" s="95"/>
      <c r="K14" s="95"/>
      <c r="L14" s="95"/>
      <c r="M14" s="95"/>
      <c r="N14" s="95"/>
      <c r="O14" s="95"/>
      <c r="P14" s="95"/>
      <c r="Q14" s="95"/>
    </row>
    <row r="15" spans="1:17" x14ac:dyDescent="0.25">
      <c r="A15" s="126"/>
      <c r="B15" s="95"/>
      <c r="C15" s="95"/>
      <c r="D15" s="95"/>
      <c r="E15" s="95"/>
      <c r="F15" s="95"/>
      <c r="G15" s="95"/>
      <c r="H15" s="95"/>
      <c r="I15" s="95"/>
      <c r="J15" s="95"/>
      <c r="K15" s="95"/>
      <c r="L15" s="95"/>
      <c r="M15" s="95"/>
      <c r="N15" s="95"/>
      <c r="O15" s="95"/>
      <c r="P15" s="95"/>
      <c r="Q15" s="95"/>
    </row>
    <row r="16" spans="1:17" x14ac:dyDescent="0.25">
      <c r="A16" s="126"/>
      <c r="B16" s="95"/>
      <c r="C16" s="95"/>
      <c r="D16" s="95"/>
      <c r="E16" s="95"/>
      <c r="F16" s="95"/>
      <c r="G16" s="95"/>
      <c r="H16" s="95"/>
      <c r="I16" s="95"/>
      <c r="J16" s="95"/>
      <c r="K16" s="95"/>
      <c r="L16" s="95"/>
      <c r="M16" s="95"/>
      <c r="N16" s="95"/>
      <c r="O16" s="95"/>
      <c r="P16" s="95"/>
      <c r="Q16" s="95"/>
    </row>
    <row r="17" spans="1:17" x14ac:dyDescent="0.25">
      <c r="A17" s="126"/>
      <c r="B17" s="95"/>
      <c r="C17" s="95"/>
      <c r="D17" s="95"/>
      <c r="E17" s="95"/>
      <c r="F17" s="95"/>
      <c r="G17" s="95"/>
      <c r="H17" s="95"/>
      <c r="I17" s="95"/>
      <c r="J17" s="95"/>
      <c r="K17" s="95"/>
      <c r="L17" s="95"/>
      <c r="M17" s="95"/>
      <c r="N17" s="95"/>
      <c r="O17" s="95"/>
      <c r="P17" s="95"/>
      <c r="Q17" s="95"/>
    </row>
    <row r="18" spans="1:17" x14ac:dyDescent="0.25">
      <c r="A18" s="126"/>
    </row>
    <row r="19" spans="1:17" x14ac:dyDescent="0.25">
      <c r="A19" s="126"/>
    </row>
    <row r="20" spans="1:17" x14ac:dyDescent="0.25">
      <c r="A20" s="126"/>
    </row>
    <row r="21" spans="1:17" x14ac:dyDescent="0.25">
      <c r="A21" s="126"/>
    </row>
    <row r="22" spans="1:17" x14ac:dyDescent="0.25">
      <c r="A22" s="126"/>
    </row>
    <row r="23" spans="1:17" x14ac:dyDescent="0.25">
      <c r="A23" s="126"/>
    </row>
    <row r="24" spans="1:17" x14ac:dyDescent="0.25">
      <c r="A24" s="126"/>
    </row>
    <row r="25" spans="1:17" x14ac:dyDescent="0.25">
      <c r="A25" s="126"/>
    </row>
    <row r="26" spans="1:17" x14ac:dyDescent="0.25">
      <c r="A26" s="126"/>
    </row>
    <row r="27" spans="1:17" x14ac:dyDescent="0.25">
      <c r="A27" s="126"/>
    </row>
    <row r="28" spans="1:17" x14ac:dyDescent="0.25">
      <c r="A28" s="126"/>
    </row>
    <row r="29" spans="1:17" x14ac:dyDescent="0.25">
      <c r="A29" s="126"/>
    </row>
    <row r="30" spans="1:17" x14ac:dyDescent="0.25">
      <c r="A30" s="126"/>
    </row>
    <row r="31" spans="1:17" x14ac:dyDescent="0.25">
      <c r="A31" s="126"/>
    </row>
  </sheetData>
  <hyperlinks>
    <hyperlink ref="E1" location="'Lisez-moi'!A1" display="Retour au sommaire"/>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I24"/>
  <sheetViews>
    <sheetView topLeftCell="A16" workbookViewId="0">
      <selection activeCell="J30" sqref="J30"/>
    </sheetView>
  </sheetViews>
  <sheetFormatPr baseColWidth="10" defaultRowHeight="15" x14ac:dyDescent="0.25"/>
  <cols>
    <col min="1" max="1" width="91.140625" style="95" customWidth="1"/>
    <col min="2" max="16384" width="11.42578125" style="95"/>
  </cols>
  <sheetData>
    <row r="1" spans="1:9" x14ac:dyDescent="0.25">
      <c r="A1" s="97" t="s">
        <v>218</v>
      </c>
      <c r="E1" s="129" t="s">
        <v>111</v>
      </c>
    </row>
    <row r="3" spans="1:9" x14ac:dyDescent="0.25">
      <c r="A3" s="95" t="s">
        <v>221</v>
      </c>
    </row>
    <row r="5" spans="1:9" ht="47.25" customHeight="1" x14ac:dyDescent="0.25">
      <c r="B5" s="121" t="s">
        <v>56</v>
      </c>
      <c r="C5" s="119" t="s">
        <v>57</v>
      </c>
      <c r="D5" s="119" t="s">
        <v>75</v>
      </c>
      <c r="E5" s="120" t="s">
        <v>92</v>
      </c>
    </row>
    <row r="6" spans="1:9" x14ac:dyDescent="0.25">
      <c r="A6" s="117" t="s">
        <v>0</v>
      </c>
      <c r="B6" s="125">
        <v>25.5</v>
      </c>
      <c r="C6" s="123">
        <v>25.3</v>
      </c>
      <c r="D6" s="123">
        <v>49.3</v>
      </c>
      <c r="E6" s="124"/>
      <c r="G6" s="128"/>
      <c r="H6" s="128"/>
      <c r="I6" s="128"/>
    </row>
    <row r="7" spans="1:9" x14ac:dyDescent="0.25">
      <c r="A7" s="99" t="s">
        <v>51</v>
      </c>
      <c r="B7" s="108">
        <v>6.2</v>
      </c>
      <c r="C7" s="106">
        <v>10.4</v>
      </c>
      <c r="D7" s="106">
        <v>83.399999999999991</v>
      </c>
      <c r="E7" s="103"/>
      <c r="G7" s="128"/>
      <c r="H7" s="128"/>
      <c r="I7" s="128"/>
    </row>
    <row r="8" spans="1:9" x14ac:dyDescent="0.25">
      <c r="A8" s="99" t="s">
        <v>16</v>
      </c>
      <c r="B8" s="108">
        <v>16.5</v>
      </c>
      <c r="C8" s="106">
        <v>47.3</v>
      </c>
      <c r="D8" s="106">
        <v>36.199999999999996</v>
      </c>
      <c r="E8" s="103"/>
      <c r="G8" s="128"/>
      <c r="H8" s="128"/>
      <c r="I8" s="128"/>
    </row>
    <row r="9" spans="1:9" x14ac:dyDescent="0.25">
      <c r="A9" s="99" t="s">
        <v>17</v>
      </c>
      <c r="B9" s="132" t="s">
        <v>92</v>
      </c>
      <c r="C9" s="106">
        <v>72.8</v>
      </c>
      <c r="D9" s="133" t="s">
        <v>92</v>
      </c>
      <c r="E9" s="103">
        <v>27.200000000000003</v>
      </c>
      <c r="G9" s="128"/>
      <c r="H9" s="128"/>
      <c r="I9" s="128"/>
    </row>
    <row r="10" spans="1:9" x14ac:dyDescent="0.25">
      <c r="A10" s="99" t="s">
        <v>18</v>
      </c>
      <c r="B10" s="108">
        <v>20.5</v>
      </c>
      <c r="C10" s="106">
        <v>35.799999999999997</v>
      </c>
      <c r="D10" s="106">
        <v>43.7</v>
      </c>
      <c r="E10" s="103"/>
      <c r="G10" s="128"/>
      <c r="H10" s="128"/>
      <c r="I10" s="128"/>
    </row>
    <row r="11" spans="1:9" x14ac:dyDescent="0.25">
      <c r="A11" s="99" t="s">
        <v>19</v>
      </c>
      <c r="B11" s="108">
        <v>18.2</v>
      </c>
      <c r="C11" s="106">
        <v>34.599999999999994</v>
      </c>
      <c r="D11" s="106">
        <v>47.099999999999994</v>
      </c>
      <c r="E11" s="103"/>
      <c r="G11" s="128"/>
      <c r="H11" s="128"/>
      <c r="I11" s="128"/>
    </row>
    <row r="12" spans="1:9" x14ac:dyDescent="0.25">
      <c r="A12" s="99" t="s">
        <v>20</v>
      </c>
      <c r="B12" s="108">
        <v>19.8</v>
      </c>
      <c r="C12" s="106">
        <v>39.5</v>
      </c>
      <c r="D12" s="106">
        <v>40.6</v>
      </c>
      <c r="E12" s="103"/>
      <c r="G12" s="128"/>
      <c r="H12" s="128"/>
      <c r="I12" s="128"/>
    </row>
    <row r="13" spans="1:9" x14ac:dyDescent="0.25">
      <c r="A13" s="99" t="s">
        <v>21</v>
      </c>
      <c r="B13" s="108">
        <v>10.100000000000001</v>
      </c>
      <c r="C13" s="106">
        <v>26.900000000000002</v>
      </c>
      <c r="D13" s="106">
        <v>63</v>
      </c>
      <c r="E13" s="103"/>
      <c r="G13" s="128"/>
      <c r="H13" s="128"/>
      <c r="I13" s="128"/>
    </row>
    <row r="14" spans="1:9" x14ac:dyDescent="0.25">
      <c r="A14" s="99" t="s">
        <v>22</v>
      </c>
      <c r="B14" s="108">
        <v>45.5</v>
      </c>
      <c r="C14" s="106">
        <v>32.4</v>
      </c>
      <c r="D14" s="106">
        <v>22.1</v>
      </c>
      <c r="E14" s="103"/>
      <c r="G14" s="128"/>
      <c r="H14" s="128"/>
      <c r="I14" s="128"/>
    </row>
    <row r="15" spans="1:9" x14ac:dyDescent="0.25">
      <c r="A15" s="99" t="s">
        <v>23</v>
      </c>
      <c r="B15" s="108">
        <v>18.7</v>
      </c>
      <c r="C15" s="106">
        <v>27.800000000000004</v>
      </c>
      <c r="D15" s="106">
        <v>53.5</v>
      </c>
      <c r="E15" s="103"/>
      <c r="G15" s="128"/>
      <c r="H15" s="128"/>
      <c r="I15" s="128"/>
    </row>
    <row r="16" spans="1:9" x14ac:dyDescent="0.25">
      <c r="A16" s="99" t="s">
        <v>24</v>
      </c>
      <c r="B16" s="108">
        <v>33.1</v>
      </c>
      <c r="C16" s="106">
        <v>19.600000000000001</v>
      </c>
      <c r="D16" s="106">
        <v>47.3</v>
      </c>
      <c r="E16" s="103"/>
      <c r="G16" s="128"/>
      <c r="H16" s="128"/>
      <c r="I16" s="128"/>
    </row>
    <row r="17" spans="1:9" x14ac:dyDescent="0.25">
      <c r="A17" s="99" t="s">
        <v>25</v>
      </c>
      <c r="B17" s="108">
        <v>40</v>
      </c>
      <c r="C17" s="106">
        <v>19.5</v>
      </c>
      <c r="D17" s="106">
        <v>40.5</v>
      </c>
      <c r="E17" s="103"/>
      <c r="G17" s="128"/>
      <c r="H17" s="128"/>
      <c r="I17" s="128"/>
    </row>
    <row r="18" spans="1:9" x14ac:dyDescent="0.25">
      <c r="A18" s="99" t="s">
        <v>26</v>
      </c>
      <c r="B18" s="108">
        <v>47.3</v>
      </c>
      <c r="C18" s="106">
        <v>24</v>
      </c>
      <c r="D18" s="106">
        <v>28.7</v>
      </c>
      <c r="E18" s="103"/>
      <c r="G18" s="128"/>
      <c r="H18" s="128"/>
      <c r="I18" s="128"/>
    </row>
    <row r="19" spans="1:9" x14ac:dyDescent="0.25">
      <c r="A19" s="99" t="s">
        <v>27</v>
      </c>
      <c r="B19" s="108">
        <v>19.2</v>
      </c>
      <c r="C19" s="106">
        <v>27.900000000000002</v>
      </c>
      <c r="D19" s="106">
        <v>52.900000000000006</v>
      </c>
      <c r="E19" s="103"/>
      <c r="G19" s="128"/>
      <c r="H19" s="128"/>
      <c r="I19" s="128"/>
    </row>
    <row r="20" spans="1:9" x14ac:dyDescent="0.25">
      <c r="A20" s="99" t="s">
        <v>28</v>
      </c>
      <c r="B20" s="108">
        <v>24</v>
      </c>
      <c r="C20" s="106">
        <v>20</v>
      </c>
      <c r="D20" s="106">
        <v>56.000000000000007</v>
      </c>
      <c r="E20" s="103"/>
      <c r="G20" s="128"/>
      <c r="H20" s="128"/>
      <c r="I20" s="128"/>
    </row>
    <row r="21" spans="1:9" x14ac:dyDescent="0.25">
      <c r="A21" s="99" t="s">
        <v>29</v>
      </c>
      <c r="B21" s="108">
        <v>12.3</v>
      </c>
      <c r="C21" s="106">
        <v>14.000000000000002</v>
      </c>
      <c r="D21" s="106">
        <v>73.7</v>
      </c>
      <c r="E21" s="103"/>
      <c r="G21" s="128"/>
      <c r="H21" s="128"/>
      <c r="I21" s="128"/>
    </row>
    <row r="22" spans="1:9" x14ac:dyDescent="0.25">
      <c r="A22" s="100" t="s">
        <v>30</v>
      </c>
      <c r="B22" s="109">
        <v>22.2</v>
      </c>
      <c r="C22" s="107">
        <v>11.200000000000001</v>
      </c>
      <c r="D22" s="107">
        <v>66.600000000000009</v>
      </c>
      <c r="E22" s="104"/>
      <c r="G22" s="128"/>
      <c r="H22" s="128"/>
      <c r="I22" s="128"/>
    </row>
    <row r="23" spans="1:9" x14ac:dyDescent="0.25">
      <c r="A23" s="101" t="s">
        <v>116</v>
      </c>
    </row>
    <row r="24" spans="1:9" x14ac:dyDescent="0.25">
      <c r="A24" s="101" t="s">
        <v>7</v>
      </c>
    </row>
  </sheetData>
  <hyperlinks>
    <hyperlink ref="E1" location="'Lisez-moi'!A1" display="Retour au sommaire"/>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C11"/>
  <sheetViews>
    <sheetView workbookViewId="0">
      <selection activeCell="H24" sqref="H24"/>
    </sheetView>
  </sheetViews>
  <sheetFormatPr baseColWidth="10" defaultRowHeight="15" x14ac:dyDescent="0.25"/>
  <cols>
    <col min="1" max="1" width="91.42578125" style="95" customWidth="1"/>
    <col min="2" max="16384" width="11.42578125" style="95"/>
  </cols>
  <sheetData>
    <row r="1" spans="1:3" x14ac:dyDescent="0.25">
      <c r="A1" s="97" t="s">
        <v>222</v>
      </c>
      <c r="C1" s="129" t="s">
        <v>111</v>
      </c>
    </row>
    <row r="3" spans="1:3" x14ac:dyDescent="0.25">
      <c r="A3" s="95" t="s">
        <v>223</v>
      </c>
    </row>
    <row r="5" spans="1:3" x14ac:dyDescent="0.25">
      <c r="A5" s="98" t="s">
        <v>76</v>
      </c>
      <c r="B5" s="102">
        <v>39.5</v>
      </c>
    </row>
    <row r="6" spans="1:3" x14ac:dyDescent="0.25">
      <c r="A6" s="99" t="s">
        <v>77</v>
      </c>
      <c r="B6" s="103">
        <v>6.9</v>
      </c>
    </row>
    <row r="7" spans="1:3" x14ac:dyDescent="0.25">
      <c r="A7" s="99" t="s">
        <v>78</v>
      </c>
      <c r="B7" s="103">
        <v>13.700000000000001</v>
      </c>
    </row>
    <row r="8" spans="1:3" x14ac:dyDescent="0.25">
      <c r="A8" s="99" t="s">
        <v>79</v>
      </c>
      <c r="B8" s="103">
        <v>0.89999999999999991</v>
      </c>
    </row>
    <row r="9" spans="1:3" x14ac:dyDescent="0.25">
      <c r="A9" s="100" t="s">
        <v>42</v>
      </c>
      <c r="B9" s="104">
        <v>59.199999999999996</v>
      </c>
    </row>
    <row r="10" spans="1:3" x14ac:dyDescent="0.25">
      <c r="A10" s="101" t="s">
        <v>116</v>
      </c>
    </row>
    <row r="11" spans="1:3" x14ac:dyDescent="0.25">
      <c r="A11" s="101" t="s">
        <v>7</v>
      </c>
    </row>
  </sheetData>
  <hyperlinks>
    <hyperlink ref="C1" location="'Lisez-moi'!A1" display="Retour au sommaire"/>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H36"/>
  <sheetViews>
    <sheetView workbookViewId="0">
      <selection activeCell="J25" sqref="J25"/>
    </sheetView>
  </sheetViews>
  <sheetFormatPr baseColWidth="10" defaultRowHeight="15" x14ac:dyDescent="0.25"/>
  <cols>
    <col min="1" max="1" width="91.42578125" style="95" customWidth="1"/>
    <col min="2" max="16384" width="11.42578125" style="95"/>
  </cols>
  <sheetData>
    <row r="1" spans="1:8" x14ac:dyDescent="0.25">
      <c r="A1" s="97" t="s">
        <v>222</v>
      </c>
      <c r="D1" s="129" t="s">
        <v>111</v>
      </c>
    </row>
    <row r="2" spans="1:8" x14ac:dyDescent="0.25">
      <c r="A2" s="97"/>
    </row>
    <row r="3" spans="1:8" x14ac:dyDescent="0.25">
      <c r="A3" s="95" t="s">
        <v>224</v>
      </c>
    </row>
    <row r="4" spans="1:8" x14ac:dyDescent="0.25">
      <c r="B4" s="113" t="s">
        <v>0</v>
      </c>
      <c r="C4" s="110" t="s">
        <v>8</v>
      </c>
      <c r="D4" s="111" t="s">
        <v>9</v>
      </c>
      <c r="E4" s="111" t="s">
        <v>10</v>
      </c>
      <c r="F4" s="111" t="s">
        <v>11</v>
      </c>
      <c r="G4" s="111" t="s">
        <v>12</v>
      </c>
      <c r="H4" s="112" t="s">
        <v>13</v>
      </c>
    </row>
    <row r="5" spans="1:8" x14ac:dyDescent="0.25">
      <c r="A5" s="98" t="s">
        <v>76</v>
      </c>
      <c r="B5" s="115">
        <v>39.5</v>
      </c>
      <c r="C5" s="106">
        <v>23.5</v>
      </c>
      <c r="D5" s="106">
        <v>30.9</v>
      </c>
      <c r="E5" s="106">
        <v>35.299999999999997</v>
      </c>
      <c r="F5" s="106">
        <v>36</v>
      </c>
      <c r="G5" s="106">
        <v>37</v>
      </c>
      <c r="H5" s="103">
        <v>45.800000000000004</v>
      </c>
    </row>
    <row r="6" spans="1:8" x14ac:dyDescent="0.25">
      <c r="A6" s="99" t="s">
        <v>77</v>
      </c>
      <c r="B6" s="115">
        <v>6.9</v>
      </c>
      <c r="C6" s="106">
        <v>12.4</v>
      </c>
      <c r="D6" s="106">
        <v>9.9</v>
      </c>
      <c r="E6" s="106">
        <v>4.3</v>
      </c>
      <c r="F6" s="106">
        <v>7.6</v>
      </c>
      <c r="G6" s="106">
        <v>5.5</v>
      </c>
      <c r="H6" s="103">
        <v>5.5</v>
      </c>
    </row>
    <row r="7" spans="1:8" x14ac:dyDescent="0.25">
      <c r="A7" s="99" t="s">
        <v>78</v>
      </c>
      <c r="B7" s="115">
        <v>13.700000000000001</v>
      </c>
      <c r="C7" s="106">
        <v>17.599999999999998</v>
      </c>
      <c r="D7" s="106">
        <v>11.600000000000001</v>
      </c>
      <c r="E7" s="106">
        <v>20.8</v>
      </c>
      <c r="F7" s="106">
        <v>11.600000000000001</v>
      </c>
      <c r="G7" s="106">
        <v>12.5</v>
      </c>
      <c r="H7" s="103">
        <v>12.7</v>
      </c>
    </row>
    <row r="8" spans="1:8" x14ac:dyDescent="0.25">
      <c r="A8" s="99" t="s">
        <v>79</v>
      </c>
      <c r="B8" s="115">
        <v>0.89999999999999991</v>
      </c>
      <c r="C8" s="106">
        <v>1.2</v>
      </c>
      <c r="D8" s="106">
        <v>1.0999999999999999</v>
      </c>
      <c r="E8" s="106">
        <v>1.9</v>
      </c>
      <c r="F8" s="106">
        <v>1.2</v>
      </c>
      <c r="G8" s="106" t="s">
        <v>92</v>
      </c>
      <c r="H8" s="103">
        <v>0.6</v>
      </c>
    </row>
    <row r="9" spans="1:8" x14ac:dyDescent="0.25">
      <c r="A9" s="100" t="s">
        <v>42</v>
      </c>
      <c r="B9" s="116">
        <v>59.199999999999996</v>
      </c>
      <c r="C9" s="107">
        <v>59.199999999999996</v>
      </c>
      <c r="D9" s="107">
        <v>60.8</v>
      </c>
      <c r="E9" s="107">
        <v>53.6</v>
      </c>
      <c r="F9" s="107">
        <v>57.599999999999994</v>
      </c>
      <c r="G9" s="107">
        <v>59.5</v>
      </c>
      <c r="H9" s="104">
        <v>60.099999999999994</v>
      </c>
    </row>
    <row r="10" spans="1:8" x14ac:dyDescent="0.25">
      <c r="A10" s="101" t="s">
        <v>116</v>
      </c>
    </row>
    <row r="11" spans="1:8" x14ac:dyDescent="0.25">
      <c r="A11" s="101" t="s">
        <v>7</v>
      </c>
    </row>
    <row r="12" spans="1:8" x14ac:dyDescent="0.25">
      <c r="A12" s="126"/>
    </row>
    <row r="13" spans="1:8" x14ac:dyDescent="0.25">
      <c r="A13" s="126"/>
    </row>
    <row r="14" spans="1:8" x14ac:dyDescent="0.25">
      <c r="A14" s="126"/>
    </row>
    <row r="15" spans="1:8" x14ac:dyDescent="0.25">
      <c r="A15" s="126"/>
    </row>
    <row r="16" spans="1:8" x14ac:dyDescent="0.25">
      <c r="A16" s="126"/>
    </row>
    <row r="17" spans="1:8" x14ac:dyDescent="0.25">
      <c r="A17" s="126"/>
    </row>
    <row r="18" spans="1:8" x14ac:dyDescent="0.25">
      <c r="A18" s="126"/>
    </row>
    <row r="19" spans="1:8" x14ac:dyDescent="0.25">
      <c r="A19" s="126"/>
    </row>
    <row r="20" spans="1:8" x14ac:dyDescent="0.25">
      <c r="A20" s="126"/>
    </row>
    <row r="21" spans="1:8" x14ac:dyDescent="0.25">
      <c r="A21" s="126"/>
    </row>
    <row r="22" spans="1:8" x14ac:dyDescent="0.25">
      <c r="A22" s="126"/>
    </row>
    <row r="23" spans="1:8" x14ac:dyDescent="0.25">
      <c r="A23" s="126"/>
    </row>
    <row r="24" spans="1:8" x14ac:dyDescent="0.25">
      <c r="A24" s="126"/>
    </row>
    <row r="25" spans="1:8" x14ac:dyDescent="0.25">
      <c r="A25" s="126"/>
    </row>
    <row r="26" spans="1:8" x14ac:dyDescent="0.25">
      <c r="A26" s="126"/>
    </row>
    <row r="27" spans="1:8" x14ac:dyDescent="0.25">
      <c r="A27" s="126"/>
    </row>
    <row r="28" spans="1:8" x14ac:dyDescent="0.25">
      <c r="A28" s="126"/>
    </row>
    <row r="29" spans="1:8" x14ac:dyDescent="0.25">
      <c r="A29" s="126"/>
    </row>
    <row r="30" spans="1:8" x14ac:dyDescent="0.25">
      <c r="A30" s="126"/>
    </row>
    <row r="31" spans="1:8" x14ac:dyDescent="0.25">
      <c r="A31" s="126"/>
    </row>
    <row r="32" spans="1:8" x14ac:dyDescent="0.25">
      <c r="B32" s="128"/>
      <c r="C32" s="128"/>
      <c r="D32" s="128"/>
      <c r="E32" s="128"/>
      <c r="F32" s="128"/>
      <c r="G32" s="128"/>
      <c r="H32" s="128"/>
    </row>
    <row r="33" spans="2:8" x14ac:dyDescent="0.25">
      <c r="B33" s="128"/>
      <c r="C33" s="128"/>
      <c r="D33" s="128"/>
      <c r="E33" s="128"/>
      <c r="F33" s="128"/>
      <c r="G33" s="128"/>
      <c r="H33" s="128"/>
    </row>
    <row r="34" spans="2:8" x14ac:dyDescent="0.25">
      <c r="B34" s="128"/>
      <c r="C34" s="128"/>
      <c r="D34" s="128"/>
      <c r="E34" s="128"/>
      <c r="F34" s="128"/>
      <c r="G34" s="128"/>
      <c r="H34" s="128"/>
    </row>
    <row r="35" spans="2:8" x14ac:dyDescent="0.25">
      <c r="B35" s="128"/>
      <c r="C35" s="128"/>
      <c r="D35" s="128"/>
      <c r="E35" s="128"/>
      <c r="F35" s="128"/>
      <c r="G35" s="128"/>
      <c r="H35" s="128"/>
    </row>
    <row r="36" spans="2:8" x14ac:dyDescent="0.25">
      <c r="B36" s="128"/>
      <c r="C36" s="128"/>
      <c r="D36" s="128"/>
      <c r="E36" s="128"/>
      <c r="F36" s="128"/>
      <c r="G36" s="128"/>
      <c r="H36" s="128"/>
    </row>
  </sheetData>
  <hyperlinks>
    <hyperlink ref="D1" location="'Lisez-moi'!A1" display="Retour au sommaire"/>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L24"/>
  <sheetViews>
    <sheetView topLeftCell="A25" workbookViewId="0">
      <selection activeCell="J19" sqref="J19"/>
    </sheetView>
  </sheetViews>
  <sheetFormatPr baseColWidth="10" defaultRowHeight="15" x14ac:dyDescent="0.25"/>
  <cols>
    <col min="1" max="1" width="91.42578125" style="95" customWidth="1"/>
    <col min="2" max="16384" width="11.42578125" style="95"/>
  </cols>
  <sheetData>
    <row r="1" spans="1:12" x14ac:dyDescent="0.25">
      <c r="A1" s="97" t="s">
        <v>222</v>
      </c>
      <c r="C1" s="129" t="s">
        <v>111</v>
      </c>
    </row>
    <row r="3" spans="1:12" x14ac:dyDescent="0.25">
      <c r="A3" s="95" t="s">
        <v>225</v>
      </c>
    </row>
    <row r="5" spans="1:12" ht="122.25" x14ac:dyDescent="0.25">
      <c r="B5" s="121" t="s">
        <v>76</v>
      </c>
      <c r="C5" s="119" t="s">
        <v>77</v>
      </c>
      <c r="D5" s="119" t="s">
        <v>78</v>
      </c>
      <c r="E5" s="119" t="s">
        <v>79</v>
      </c>
      <c r="F5" s="120" t="s">
        <v>42</v>
      </c>
    </row>
    <row r="6" spans="1:12" x14ac:dyDescent="0.25">
      <c r="A6" s="117" t="s">
        <v>0</v>
      </c>
      <c r="B6" s="125">
        <v>39.5</v>
      </c>
      <c r="C6" s="123">
        <v>6.9</v>
      </c>
      <c r="D6" s="123">
        <v>13.700000000000001</v>
      </c>
      <c r="E6" s="123">
        <v>0.89999999999999991</v>
      </c>
      <c r="F6" s="124">
        <v>59.199999999999996</v>
      </c>
      <c r="H6" s="128"/>
      <c r="I6" s="128"/>
      <c r="J6" s="128"/>
      <c r="K6" s="128"/>
      <c r="L6" s="128"/>
    </row>
    <row r="7" spans="1:12" x14ac:dyDescent="0.25">
      <c r="A7" s="99" t="s">
        <v>51</v>
      </c>
      <c r="B7" s="108">
        <v>9.5</v>
      </c>
      <c r="C7" s="133" t="s">
        <v>92</v>
      </c>
      <c r="D7" s="133">
        <v>11.899999999999999</v>
      </c>
      <c r="E7" s="133" t="s">
        <v>92</v>
      </c>
      <c r="F7" s="103">
        <v>78.600000000000009</v>
      </c>
      <c r="H7" s="128"/>
      <c r="I7" s="128"/>
      <c r="J7" s="128"/>
      <c r="K7" s="128"/>
      <c r="L7" s="128"/>
    </row>
    <row r="8" spans="1:12" x14ac:dyDescent="0.25">
      <c r="A8" s="99" t="s">
        <v>16</v>
      </c>
      <c r="B8" s="108">
        <v>29.799999999999997</v>
      </c>
      <c r="C8" s="133">
        <v>14.6</v>
      </c>
      <c r="D8" s="133">
        <v>27.800000000000004</v>
      </c>
      <c r="E8" s="133">
        <v>3.3000000000000003</v>
      </c>
      <c r="F8" s="103">
        <v>39.1</v>
      </c>
      <c r="H8" s="128"/>
      <c r="I8" s="128"/>
      <c r="J8" s="128"/>
      <c r="K8" s="128"/>
      <c r="L8" s="128"/>
    </row>
    <row r="9" spans="1:12" x14ac:dyDescent="0.25">
      <c r="A9" s="99" t="s">
        <v>17</v>
      </c>
      <c r="B9" s="108">
        <v>0</v>
      </c>
      <c r="C9" s="133">
        <v>0</v>
      </c>
      <c r="D9" s="133" t="s">
        <v>92</v>
      </c>
      <c r="E9" s="133">
        <v>0</v>
      </c>
      <c r="F9" s="103">
        <v>0</v>
      </c>
      <c r="H9" s="128"/>
      <c r="I9" s="128"/>
      <c r="J9" s="128"/>
      <c r="K9" s="128"/>
      <c r="L9" s="128"/>
    </row>
    <row r="10" spans="1:12" x14ac:dyDescent="0.25">
      <c r="A10" s="99" t="s">
        <v>18</v>
      </c>
      <c r="B10" s="108">
        <v>27.900000000000002</v>
      </c>
      <c r="C10" s="133" t="s">
        <v>92</v>
      </c>
      <c r="D10" s="133">
        <v>15.299999999999999</v>
      </c>
      <c r="E10" s="133" t="s">
        <v>92</v>
      </c>
      <c r="F10" s="103">
        <v>54.2</v>
      </c>
      <c r="H10" s="128"/>
      <c r="I10" s="128"/>
      <c r="J10" s="128"/>
      <c r="K10" s="128"/>
      <c r="L10" s="128"/>
    </row>
    <row r="11" spans="1:12" x14ac:dyDescent="0.25">
      <c r="A11" s="99" t="s">
        <v>19</v>
      </c>
      <c r="B11" s="108">
        <v>48.3</v>
      </c>
      <c r="C11" s="133" t="s">
        <v>92</v>
      </c>
      <c r="D11" s="133" t="s">
        <v>92</v>
      </c>
      <c r="E11" s="133">
        <v>0</v>
      </c>
      <c r="F11" s="103">
        <v>67.800000000000011</v>
      </c>
      <c r="H11" s="128"/>
      <c r="I11" s="128"/>
      <c r="J11" s="128"/>
      <c r="K11" s="128"/>
      <c r="L11" s="128"/>
    </row>
    <row r="12" spans="1:12" x14ac:dyDescent="0.25">
      <c r="A12" s="99" t="s">
        <v>20</v>
      </c>
      <c r="B12" s="108">
        <v>30.9</v>
      </c>
      <c r="C12" s="133">
        <v>6.9</v>
      </c>
      <c r="D12" s="133">
        <v>12</v>
      </c>
      <c r="E12" s="133">
        <v>1.7000000000000002</v>
      </c>
      <c r="F12" s="103">
        <v>65.100000000000009</v>
      </c>
      <c r="H12" s="128"/>
      <c r="I12" s="128"/>
      <c r="J12" s="128"/>
      <c r="K12" s="128"/>
      <c r="L12" s="128"/>
    </row>
    <row r="13" spans="1:12" x14ac:dyDescent="0.25">
      <c r="A13" s="99" t="s">
        <v>21</v>
      </c>
      <c r="B13" s="108">
        <v>16.7</v>
      </c>
      <c r="C13" s="133">
        <v>0</v>
      </c>
      <c r="D13" s="133">
        <v>4.8</v>
      </c>
      <c r="E13" s="133" t="s">
        <v>92</v>
      </c>
      <c r="F13" s="103">
        <v>81</v>
      </c>
      <c r="H13" s="128"/>
      <c r="I13" s="128"/>
      <c r="J13" s="128"/>
      <c r="K13" s="128"/>
      <c r="L13" s="128"/>
    </row>
    <row r="14" spans="1:12" x14ac:dyDescent="0.25">
      <c r="A14" s="99" t="s">
        <v>22</v>
      </c>
      <c r="B14" s="108">
        <v>64.3</v>
      </c>
      <c r="C14" s="133">
        <v>6.2</v>
      </c>
      <c r="D14" s="133">
        <v>22.400000000000002</v>
      </c>
      <c r="E14" s="133">
        <v>0.2</v>
      </c>
      <c r="F14" s="103">
        <v>43.2</v>
      </c>
      <c r="H14" s="128"/>
      <c r="I14" s="128"/>
      <c r="J14" s="128"/>
      <c r="K14" s="128"/>
      <c r="L14" s="128"/>
    </row>
    <row r="15" spans="1:12" x14ac:dyDescent="0.25">
      <c r="A15" s="99" t="s">
        <v>23</v>
      </c>
      <c r="B15" s="108">
        <v>27.3</v>
      </c>
      <c r="C15" s="133">
        <v>4.8</v>
      </c>
      <c r="D15" s="133">
        <v>12.7</v>
      </c>
      <c r="E15" s="133" t="s">
        <v>92</v>
      </c>
      <c r="F15" s="103">
        <v>70.899999999999991</v>
      </c>
      <c r="H15" s="128"/>
      <c r="I15" s="128"/>
      <c r="J15" s="128"/>
      <c r="K15" s="128"/>
      <c r="L15" s="128"/>
    </row>
    <row r="16" spans="1:12" x14ac:dyDescent="0.25">
      <c r="A16" s="99" t="s">
        <v>24</v>
      </c>
      <c r="B16" s="108">
        <v>34.4</v>
      </c>
      <c r="C16" s="133">
        <v>25.1</v>
      </c>
      <c r="D16" s="133">
        <v>22.2</v>
      </c>
      <c r="E16" s="133">
        <v>3.2</v>
      </c>
      <c r="F16" s="103">
        <v>35.099999999999994</v>
      </c>
      <c r="H16" s="128"/>
      <c r="I16" s="128"/>
      <c r="J16" s="128"/>
      <c r="K16" s="128"/>
      <c r="L16" s="128"/>
    </row>
    <row r="17" spans="1:12" x14ac:dyDescent="0.25">
      <c r="A17" s="99" t="s">
        <v>25</v>
      </c>
      <c r="B17" s="108">
        <v>15.299999999999999</v>
      </c>
      <c r="C17" s="133">
        <v>1.9</v>
      </c>
      <c r="D17" s="133">
        <v>5.8000000000000007</v>
      </c>
      <c r="E17" s="133" t="s">
        <v>92</v>
      </c>
      <c r="F17" s="103">
        <v>82.399999999999991</v>
      </c>
      <c r="H17" s="128"/>
      <c r="I17" s="128"/>
      <c r="J17" s="128"/>
      <c r="K17" s="128"/>
      <c r="L17" s="128"/>
    </row>
    <row r="18" spans="1:12" x14ac:dyDescent="0.25">
      <c r="A18" s="99" t="s">
        <v>26</v>
      </c>
      <c r="B18" s="108">
        <v>59.099999999999994</v>
      </c>
      <c r="C18" s="133">
        <v>7.8</v>
      </c>
      <c r="D18" s="133">
        <v>1.0999999999999999</v>
      </c>
      <c r="E18" s="133" t="s">
        <v>92</v>
      </c>
      <c r="F18" s="103">
        <v>50.6</v>
      </c>
      <c r="H18" s="128"/>
      <c r="I18" s="128"/>
      <c r="J18" s="128"/>
      <c r="K18" s="128"/>
      <c r="L18" s="128"/>
    </row>
    <row r="19" spans="1:12" x14ac:dyDescent="0.25">
      <c r="A19" s="99" t="s">
        <v>27</v>
      </c>
      <c r="B19" s="108">
        <v>35.299999999999997</v>
      </c>
      <c r="C19" s="133" t="s">
        <v>92</v>
      </c>
      <c r="D19" s="133">
        <v>19.2</v>
      </c>
      <c r="E19" s="133" t="s">
        <v>92</v>
      </c>
      <c r="F19" s="103">
        <v>68.300000000000011</v>
      </c>
      <c r="H19" s="128"/>
      <c r="I19" s="128"/>
      <c r="J19" s="128"/>
      <c r="K19" s="128"/>
      <c r="L19" s="128"/>
    </row>
    <row r="20" spans="1:12" x14ac:dyDescent="0.25">
      <c r="A20" s="99" t="s">
        <v>28</v>
      </c>
      <c r="B20" s="108">
        <v>15.1</v>
      </c>
      <c r="C20" s="133">
        <v>4</v>
      </c>
      <c r="D20" s="133">
        <v>4.9000000000000004</v>
      </c>
      <c r="E20" s="133">
        <v>0.4</v>
      </c>
      <c r="F20" s="103">
        <v>79.100000000000009</v>
      </c>
      <c r="H20" s="128"/>
      <c r="I20" s="128"/>
      <c r="J20" s="128"/>
      <c r="K20" s="128"/>
      <c r="L20" s="128"/>
    </row>
    <row r="21" spans="1:12" x14ac:dyDescent="0.25">
      <c r="A21" s="99" t="s">
        <v>29</v>
      </c>
      <c r="B21" s="108">
        <v>16.100000000000001</v>
      </c>
      <c r="C21" s="133">
        <v>4.5</v>
      </c>
      <c r="D21" s="133">
        <v>11.600000000000001</v>
      </c>
      <c r="E21" s="133">
        <v>0.89999999999999991</v>
      </c>
      <c r="F21" s="103">
        <v>74.099999999999994</v>
      </c>
      <c r="H21" s="128"/>
      <c r="I21" s="128"/>
      <c r="J21" s="128"/>
      <c r="K21" s="128"/>
      <c r="L21" s="128"/>
    </row>
    <row r="22" spans="1:12" x14ac:dyDescent="0.25">
      <c r="A22" s="100" t="s">
        <v>30</v>
      </c>
      <c r="B22" s="109">
        <v>25.7</v>
      </c>
      <c r="C22" s="134">
        <v>2.7</v>
      </c>
      <c r="D22" s="134">
        <v>4.3</v>
      </c>
      <c r="E22" s="134" t="s">
        <v>92</v>
      </c>
      <c r="F22" s="104">
        <v>73.8</v>
      </c>
      <c r="H22" s="128"/>
      <c r="I22" s="128"/>
      <c r="J22" s="128"/>
      <c r="K22" s="128"/>
      <c r="L22" s="128"/>
    </row>
    <row r="23" spans="1:12" x14ac:dyDescent="0.25">
      <c r="A23" s="101" t="s">
        <v>116</v>
      </c>
    </row>
    <row r="24" spans="1:12" x14ac:dyDescent="0.25">
      <c r="A24" s="101" t="s">
        <v>7</v>
      </c>
    </row>
  </sheetData>
  <hyperlinks>
    <hyperlink ref="C1" location="'Lisez-moi'!A1" display="Retour au sommaire"/>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E41"/>
  <sheetViews>
    <sheetView topLeftCell="A13" workbookViewId="0">
      <selection activeCell="N32" sqref="N32"/>
    </sheetView>
  </sheetViews>
  <sheetFormatPr baseColWidth="10" defaultRowHeight="15" x14ac:dyDescent="0.25"/>
  <cols>
    <col min="1" max="1" width="90.7109375" style="95" customWidth="1"/>
    <col min="2" max="8" width="11.42578125" style="95"/>
    <col min="9" max="9" width="2.7109375" style="95" customWidth="1"/>
    <col min="10" max="16" width="10.42578125" style="95" customWidth="1"/>
    <col min="17" max="16384" width="11.42578125" style="95"/>
  </cols>
  <sheetData>
    <row r="1" spans="1:5" x14ac:dyDescent="0.25">
      <c r="A1" s="97" t="s">
        <v>226</v>
      </c>
      <c r="E1" s="129" t="s">
        <v>111</v>
      </c>
    </row>
    <row r="3" spans="1:5" x14ac:dyDescent="0.25">
      <c r="A3" s="95" t="s">
        <v>227</v>
      </c>
    </row>
    <row r="5" spans="1:5" x14ac:dyDescent="0.25">
      <c r="A5" s="96" t="s">
        <v>80</v>
      </c>
      <c r="B5" s="114">
        <v>17.8</v>
      </c>
    </row>
    <row r="6" spans="1:5" x14ac:dyDescent="0.25">
      <c r="A6" s="118" t="s">
        <v>108</v>
      </c>
      <c r="B6" s="115">
        <v>7.8</v>
      </c>
    </row>
    <row r="7" spans="1:5" x14ac:dyDescent="0.25">
      <c r="A7" s="118" t="s">
        <v>109</v>
      </c>
      <c r="B7" s="115">
        <v>18.5</v>
      </c>
    </row>
    <row r="8" spans="1:5" x14ac:dyDescent="0.25">
      <c r="A8" s="118" t="s">
        <v>81</v>
      </c>
      <c r="B8" s="115">
        <v>14.2</v>
      </c>
    </row>
    <row r="9" spans="1:5" ht="30" x14ac:dyDescent="0.25">
      <c r="A9" s="127" t="s">
        <v>82</v>
      </c>
      <c r="B9" s="115">
        <v>20.3</v>
      </c>
    </row>
    <row r="10" spans="1:5" x14ac:dyDescent="0.25">
      <c r="A10" s="122" t="s">
        <v>72</v>
      </c>
      <c r="B10" s="116">
        <v>21.4</v>
      </c>
    </row>
    <row r="11" spans="1:5" x14ac:dyDescent="0.25">
      <c r="A11" s="101" t="s">
        <v>116</v>
      </c>
    </row>
    <row r="12" spans="1:5" x14ac:dyDescent="0.25">
      <c r="A12" s="101" t="s">
        <v>7</v>
      </c>
    </row>
    <row r="13" spans="1:5" x14ac:dyDescent="0.25">
      <c r="A13" s="126"/>
    </row>
    <row r="14" spans="1:5" x14ac:dyDescent="0.25">
      <c r="A14" s="126"/>
    </row>
    <row r="15" spans="1:5" x14ac:dyDescent="0.25">
      <c r="A15" s="126"/>
    </row>
    <row r="16" spans="1:5" x14ac:dyDescent="0.25">
      <c r="A16" s="126"/>
    </row>
    <row r="17" spans="1:1" x14ac:dyDescent="0.25">
      <c r="A17" s="126"/>
    </row>
    <row r="18" spans="1:1" x14ac:dyDescent="0.25">
      <c r="A18" s="126"/>
    </row>
    <row r="19" spans="1:1" x14ac:dyDescent="0.25">
      <c r="A19" s="126"/>
    </row>
    <row r="20" spans="1:1" x14ac:dyDescent="0.25">
      <c r="A20" s="126"/>
    </row>
    <row r="21" spans="1:1" x14ac:dyDescent="0.25">
      <c r="A21" s="126"/>
    </row>
    <row r="22" spans="1:1" x14ac:dyDescent="0.25">
      <c r="A22" s="126"/>
    </row>
    <row r="23" spans="1:1" x14ac:dyDescent="0.25">
      <c r="A23" s="126"/>
    </row>
    <row r="24" spans="1:1" x14ac:dyDescent="0.25">
      <c r="A24" s="126"/>
    </row>
    <row r="25" spans="1:1" x14ac:dyDescent="0.25">
      <c r="A25" s="126"/>
    </row>
    <row r="26" spans="1:1" x14ac:dyDescent="0.25">
      <c r="A26" s="126"/>
    </row>
    <row r="27" spans="1:1" x14ac:dyDescent="0.25">
      <c r="A27" s="126"/>
    </row>
    <row r="28" spans="1:1" x14ac:dyDescent="0.25">
      <c r="A28" s="126"/>
    </row>
    <row r="29" spans="1:1" x14ac:dyDescent="0.25">
      <c r="A29" s="126"/>
    </row>
    <row r="30" spans="1:1" x14ac:dyDescent="0.25">
      <c r="A30" s="126"/>
    </row>
    <row r="31" spans="1:1" x14ac:dyDescent="0.25">
      <c r="A31" s="126"/>
    </row>
    <row r="32" spans="1:1" x14ac:dyDescent="0.25">
      <c r="A32" s="126"/>
    </row>
    <row r="33" spans="1:1" x14ac:dyDescent="0.25">
      <c r="A33" s="126"/>
    </row>
    <row r="34" spans="1:1" x14ac:dyDescent="0.25">
      <c r="A34" s="126"/>
    </row>
    <row r="35" spans="1:1" x14ac:dyDescent="0.25">
      <c r="A35" s="126"/>
    </row>
    <row r="36" spans="1:1" x14ac:dyDescent="0.25">
      <c r="A36" s="126"/>
    </row>
    <row r="37" spans="1:1" x14ac:dyDescent="0.25">
      <c r="A37" s="126"/>
    </row>
    <row r="38" spans="1:1" x14ac:dyDescent="0.25">
      <c r="A38" s="126"/>
    </row>
    <row r="39" spans="1:1" x14ac:dyDescent="0.25">
      <c r="A39" s="126"/>
    </row>
    <row r="40" spans="1:1" x14ac:dyDescent="0.25">
      <c r="A40" s="126"/>
    </row>
    <row r="41" spans="1:1" x14ac:dyDescent="0.25">
      <c r="A41" s="126"/>
    </row>
  </sheetData>
  <hyperlinks>
    <hyperlink ref="E1" location="'Lisez-moi'!A1" display="Retour au sommaire"/>
  </hyperlink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P38"/>
  <sheetViews>
    <sheetView zoomScaleNormal="100" workbookViewId="0">
      <selection activeCell="J26" sqref="J26"/>
    </sheetView>
  </sheetViews>
  <sheetFormatPr baseColWidth="10" defaultRowHeight="15" x14ac:dyDescent="0.25"/>
  <cols>
    <col min="1" max="1" width="90.7109375" style="95" customWidth="1"/>
    <col min="2" max="8" width="11.42578125" style="95"/>
    <col min="9" max="9" width="13" style="95" customWidth="1"/>
    <col min="10" max="16" width="10.42578125" style="95" customWidth="1"/>
    <col min="17" max="16384" width="11.42578125" style="95"/>
  </cols>
  <sheetData>
    <row r="1" spans="1:16" x14ac:dyDescent="0.25">
      <c r="A1" s="97" t="s">
        <v>226</v>
      </c>
      <c r="F1" s="129" t="s">
        <v>111</v>
      </c>
    </row>
    <row r="3" spans="1:16" x14ac:dyDescent="0.25">
      <c r="A3" s="95" t="s">
        <v>228</v>
      </c>
    </row>
    <row r="4" spans="1:16" x14ac:dyDescent="0.25">
      <c r="B4" s="113" t="s">
        <v>0</v>
      </c>
      <c r="C4" s="110" t="s">
        <v>8</v>
      </c>
      <c r="D4" s="111" t="s">
        <v>9</v>
      </c>
      <c r="E4" s="111" t="s">
        <v>10</v>
      </c>
      <c r="F4" s="111" t="s">
        <v>11</v>
      </c>
      <c r="G4" s="111" t="s">
        <v>12</v>
      </c>
      <c r="H4" s="112" t="s">
        <v>13</v>
      </c>
    </row>
    <row r="5" spans="1:16" x14ac:dyDescent="0.25">
      <c r="A5" s="96" t="s">
        <v>80</v>
      </c>
      <c r="B5" s="114">
        <v>17.8</v>
      </c>
      <c r="C5" s="105">
        <v>20.8</v>
      </c>
      <c r="D5" s="105">
        <v>19.100000000000001</v>
      </c>
      <c r="E5" s="105">
        <v>21.5</v>
      </c>
      <c r="F5" s="105">
        <v>20.5</v>
      </c>
      <c r="G5" s="105">
        <v>18.5</v>
      </c>
      <c r="H5" s="102">
        <v>14.299999999999999</v>
      </c>
      <c r="J5" s="128"/>
      <c r="K5" s="128"/>
      <c r="L5" s="128"/>
      <c r="M5" s="128"/>
      <c r="N5" s="128"/>
      <c r="O5" s="128"/>
      <c r="P5" s="128"/>
    </row>
    <row r="6" spans="1:16" x14ac:dyDescent="0.25">
      <c r="A6" s="118" t="s">
        <v>108</v>
      </c>
      <c r="B6" s="115">
        <v>7.8</v>
      </c>
      <c r="C6" s="106">
        <v>7.5</v>
      </c>
      <c r="D6" s="106">
        <v>8.3000000000000007</v>
      </c>
      <c r="E6" s="106">
        <v>9</v>
      </c>
      <c r="F6" s="106">
        <v>9.4</v>
      </c>
      <c r="G6" s="106">
        <v>8.6</v>
      </c>
      <c r="H6" s="103">
        <v>6.6000000000000005</v>
      </c>
      <c r="J6" s="128"/>
      <c r="K6" s="128"/>
      <c r="L6" s="128"/>
      <c r="M6" s="128"/>
      <c r="N6" s="128"/>
      <c r="O6" s="128"/>
      <c r="P6" s="128"/>
    </row>
    <row r="7" spans="1:16" x14ac:dyDescent="0.25">
      <c r="A7" s="118" t="s">
        <v>109</v>
      </c>
      <c r="B7" s="115">
        <v>18.5</v>
      </c>
      <c r="C7" s="106">
        <v>15.7</v>
      </c>
      <c r="D7" s="106">
        <v>18.099999999999998</v>
      </c>
      <c r="E7" s="106">
        <v>19</v>
      </c>
      <c r="F7" s="106">
        <v>17.5</v>
      </c>
      <c r="G7" s="106">
        <v>18.3</v>
      </c>
      <c r="H7" s="103">
        <v>19.8</v>
      </c>
      <c r="J7" s="128"/>
      <c r="K7" s="128"/>
      <c r="L7" s="128"/>
      <c r="M7" s="128"/>
      <c r="N7" s="128"/>
      <c r="O7" s="128"/>
      <c r="P7" s="128"/>
    </row>
    <row r="8" spans="1:16" x14ac:dyDescent="0.25">
      <c r="A8" s="118" t="s">
        <v>81</v>
      </c>
      <c r="B8" s="115">
        <v>14.2</v>
      </c>
      <c r="C8" s="106">
        <v>13</v>
      </c>
      <c r="D8" s="106">
        <v>13.5</v>
      </c>
      <c r="E8" s="106">
        <v>12.6</v>
      </c>
      <c r="F8" s="106">
        <v>12.5</v>
      </c>
      <c r="G8" s="106">
        <v>12</v>
      </c>
      <c r="H8" s="103">
        <v>16.400000000000002</v>
      </c>
      <c r="J8" s="128"/>
      <c r="K8" s="128"/>
      <c r="L8" s="128"/>
      <c r="M8" s="128"/>
      <c r="N8" s="128"/>
      <c r="O8" s="128"/>
      <c r="P8" s="128"/>
    </row>
    <row r="9" spans="1:16" ht="30" x14ac:dyDescent="0.25">
      <c r="A9" s="127" t="s">
        <v>82</v>
      </c>
      <c r="B9" s="115">
        <v>20.3</v>
      </c>
      <c r="C9" s="106">
        <v>18.5</v>
      </c>
      <c r="D9" s="106">
        <v>18.099999999999998</v>
      </c>
      <c r="E9" s="106">
        <v>17.2</v>
      </c>
      <c r="F9" s="106">
        <v>18.5</v>
      </c>
      <c r="G9" s="106">
        <v>16.7</v>
      </c>
      <c r="H9" s="103">
        <v>24</v>
      </c>
      <c r="J9" s="128"/>
      <c r="K9" s="128"/>
      <c r="L9" s="128"/>
      <c r="M9" s="128"/>
      <c r="N9" s="128"/>
      <c r="O9" s="128"/>
      <c r="P9" s="128"/>
    </row>
    <row r="10" spans="1:16" x14ac:dyDescent="0.25">
      <c r="A10" s="122" t="s">
        <v>72</v>
      </c>
      <c r="B10" s="116">
        <v>21.4</v>
      </c>
      <c r="C10" s="107">
        <v>24.6</v>
      </c>
      <c r="D10" s="107">
        <v>22.900000000000002</v>
      </c>
      <c r="E10" s="107">
        <v>20.7</v>
      </c>
      <c r="F10" s="107">
        <v>21.6</v>
      </c>
      <c r="G10" s="107">
        <v>25.900000000000002</v>
      </c>
      <c r="H10" s="104">
        <v>18.899999999999999</v>
      </c>
      <c r="J10" s="128"/>
      <c r="K10" s="128"/>
      <c r="L10" s="128"/>
      <c r="M10" s="128"/>
      <c r="N10" s="128"/>
      <c r="O10" s="128"/>
      <c r="P10" s="128"/>
    </row>
    <row r="11" spans="1:16" x14ac:dyDescent="0.25">
      <c r="A11" s="101" t="s">
        <v>116</v>
      </c>
    </row>
    <row r="12" spans="1:16" x14ac:dyDescent="0.25">
      <c r="A12" s="101" t="s">
        <v>7</v>
      </c>
    </row>
    <row r="13" spans="1:16" x14ac:dyDescent="0.25">
      <c r="A13" s="126"/>
    </row>
    <row r="14" spans="1:16" x14ac:dyDescent="0.25">
      <c r="A14" s="126"/>
    </row>
    <row r="15" spans="1:16" x14ac:dyDescent="0.25">
      <c r="A15" s="126"/>
    </row>
    <row r="16" spans="1:16" x14ac:dyDescent="0.25">
      <c r="A16" s="126"/>
    </row>
    <row r="17" spans="1:1" x14ac:dyDescent="0.25">
      <c r="A17" s="126"/>
    </row>
    <row r="18" spans="1:1" x14ac:dyDescent="0.25">
      <c r="A18" s="126"/>
    </row>
    <row r="19" spans="1:1" x14ac:dyDescent="0.25">
      <c r="A19" s="126"/>
    </row>
    <row r="20" spans="1:1" x14ac:dyDescent="0.25">
      <c r="A20" s="126"/>
    </row>
    <row r="21" spans="1:1" x14ac:dyDescent="0.25">
      <c r="A21" s="126"/>
    </row>
    <row r="22" spans="1:1" x14ac:dyDescent="0.25">
      <c r="A22" s="126"/>
    </row>
    <row r="23" spans="1:1" x14ac:dyDescent="0.25">
      <c r="A23" s="126"/>
    </row>
    <row r="24" spans="1:1" x14ac:dyDescent="0.25">
      <c r="A24" s="126"/>
    </row>
    <row r="25" spans="1:1" x14ac:dyDescent="0.25">
      <c r="A25" s="126"/>
    </row>
    <row r="26" spans="1:1" x14ac:dyDescent="0.25">
      <c r="A26" s="126"/>
    </row>
    <row r="27" spans="1:1" x14ac:dyDescent="0.25">
      <c r="A27" s="126"/>
    </row>
    <row r="28" spans="1:1" x14ac:dyDescent="0.25">
      <c r="A28" s="126"/>
    </row>
    <row r="29" spans="1:1" x14ac:dyDescent="0.25">
      <c r="A29" s="126"/>
    </row>
    <row r="30" spans="1:1" x14ac:dyDescent="0.25">
      <c r="A30" s="126"/>
    </row>
    <row r="31" spans="1:1" x14ac:dyDescent="0.25">
      <c r="A31" s="126"/>
    </row>
    <row r="32" spans="1:1" x14ac:dyDescent="0.25">
      <c r="A32" s="126"/>
    </row>
    <row r="33" spans="1:1" x14ac:dyDescent="0.25">
      <c r="A33" s="126"/>
    </row>
    <row r="34" spans="1:1" x14ac:dyDescent="0.25">
      <c r="A34" s="126"/>
    </row>
    <row r="35" spans="1:1" x14ac:dyDescent="0.25">
      <c r="A35" s="126"/>
    </row>
    <row r="36" spans="1:1" x14ac:dyDescent="0.25">
      <c r="A36" s="126"/>
    </row>
    <row r="37" spans="1:1" x14ac:dyDescent="0.25">
      <c r="A37" s="126"/>
    </row>
    <row r="38" spans="1:1" x14ac:dyDescent="0.25">
      <c r="A38" s="126"/>
    </row>
  </sheetData>
  <hyperlinks>
    <hyperlink ref="F1" location="'Lisez-moi'!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0"/>
  <sheetViews>
    <sheetView workbookViewId="0"/>
  </sheetViews>
  <sheetFormatPr baseColWidth="10" defaultRowHeight="15" x14ac:dyDescent="0.25"/>
  <cols>
    <col min="1" max="1" width="80" customWidth="1"/>
  </cols>
  <sheetData>
    <row r="1" spans="1:5" x14ac:dyDescent="0.25">
      <c r="A1" s="4" t="s">
        <v>31</v>
      </c>
      <c r="B1" s="71"/>
      <c r="C1" s="71"/>
      <c r="E1" s="76" t="s">
        <v>111</v>
      </c>
    </row>
    <row r="2" spans="1:5" x14ac:dyDescent="0.25">
      <c r="A2" s="71"/>
      <c r="B2" s="71"/>
      <c r="C2" s="71"/>
    </row>
    <row r="3" spans="1:5" x14ac:dyDescent="0.25">
      <c r="A3" s="71" t="s">
        <v>103</v>
      </c>
      <c r="B3" s="71"/>
      <c r="C3" s="71"/>
    </row>
    <row r="4" spans="1:5" ht="32.25" customHeight="1" x14ac:dyDescent="0.25">
      <c r="A4" s="39" t="s">
        <v>32</v>
      </c>
      <c r="B4" s="12">
        <f>HLOOKUP("q3mod1",[1]data_rep!$1:$1048576,VLOOKUP("EnsEns",[1]data_rep!$A$1:$B$200,2,FALSE),FALSE)</f>
        <v>64</v>
      </c>
      <c r="C4" s="71"/>
    </row>
    <row r="5" spans="1:5" ht="32.25" customHeight="1" x14ac:dyDescent="0.25">
      <c r="A5" s="62" t="s">
        <v>33</v>
      </c>
      <c r="B5" s="13">
        <f>HLOOKUP("q3mod2",[1]data_rep!$1:$1048576,VLOOKUP("EnsEns",[1]data_rep!$A$1:$B$200,2,FALSE),FALSE)</f>
        <v>19.7</v>
      </c>
      <c r="C5" s="71"/>
    </row>
    <row r="6" spans="1:5" ht="32.25" customHeight="1" x14ac:dyDescent="0.25">
      <c r="A6" s="62" t="s">
        <v>34</v>
      </c>
      <c r="B6" s="13">
        <f>HLOOKUP("q3mod3",[1]data_rep!$1:$1048576,VLOOKUP("EnsEns",[1]data_rep!$A$1:$B$200,2,FALSE),FALSE)</f>
        <v>6.2</v>
      </c>
      <c r="C6" s="71"/>
    </row>
    <row r="7" spans="1:5" ht="32.25" customHeight="1" x14ac:dyDescent="0.25">
      <c r="A7" s="40" t="s">
        <v>35</v>
      </c>
      <c r="B7" s="14">
        <f>HLOOKUP("q3mod4",[1]data_rep!$1:$1048576,VLOOKUP("EnsEns",[1]data_rep!$A$1:$B$200,2,FALSE),FALSE)</f>
        <v>10.100000000000001</v>
      </c>
      <c r="C7" s="71"/>
    </row>
    <row r="8" spans="1:5" x14ac:dyDescent="0.25">
      <c r="A8" s="8" t="s">
        <v>120</v>
      </c>
      <c r="B8" s="71"/>
      <c r="C8" s="71"/>
    </row>
    <row r="9" spans="1:5" x14ac:dyDescent="0.25">
      <c r="A9" s="8" t="s">
        <v>116</v>
      </c>
      <c r="B9" s="71"/>
      <c r="C9" s="71"/>
    </row>
    <row r="10" spans="1:5" x14ac:dyDescent="0.25">
      <c r="A10" s="8" t="s">
        <v>7</v>
      </c>
      <c r="B10" s="71"/>
      <c r="C10" s="71"/>
    </row>
  </sheetData>
  <hyperlinks>
    <hyperlink ref="C1" location="'Lisez-moi'!A1" display="Retour au sommaire"/>
    <hyperlink ref="E1" location="'Lisez-moi'!A1" display="Retour au sommaire"/>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O24"/>
  <sheetViews>
    <sheetView topLeftCell="A16" workbookViewId="0">
      <selection activeCell="J60" sqref="J60"/>
    </sheetView>
  </sheetViews>
  <sheetFormatPr baseColWidth="10" defaultRowHeight="15" x14ac:dyDescent="0.25"/>
  <cols>
    <col min="1" max="1" width="90.7109375" style="95" customWidth="1"/>
    <col min="2" max="16384" width="11.42578125" style="95"/>
  </cols>
  <sheetData>
    <row r="1" spans="1:15" x14ac:dyDescent="0.25">
      <c r="A1" s="97" t="s">
        <v>226</v>
      </c>
      <c r="E1" s="129" t="s">
        <v>111</v>
      </c>
    </row>
    <row r="3" spans="1:15" x14ac:dyDescent="0.25">
      <c r="A3" s="95" t="s">
        <v>229</v>
      </c>
    </row>
    <row r="5" spans="1:15" ht="198" x14ac:dyDescent="0.25">
      <c r="B5" s="121" t="s">
        <v>80</v>
      </c>
      <c r="C5" s="119" t="s">
        <v>108</v>
      </c>
      <c r="D5" s="119" t="s">
        <v>109</v>
      </c>
      <c r="E5" s="119" t="s">
        <v>81</v>
      </c>
      <c r="F5" s="119" t="s">
        <v>82</v>
      </c>
      <c r="G5" s="119" t="s">
        <v>72</v>
      </c>
      <c r="H5" s="120" t="s">
        <v>92</v>
      </c>
    </row>
    <row r="6" spans="1:15" x14ac:dyDescent="0.25">
      <c r="A6" s="117" t="s">
        <v>0</v>
      </c>
      <c r="B6" s="125">
        <v>17.8</v>
      </c>
      <c r="C6" s="123">
        <v>7.8</v>
      </c>
      <c r="D6" s="123">
        <v>18.5</v>
      </c>
      <c r="E6" s="123">
        <v>14.2</v>
      </c>
      <c r="F6" s="123">
        <v>20.3</v>
      </c>
      <c r="G6" s="123">
        <v>21.4</v>
      </c>
      <c r="H6" s="124"/>
      <c r="J6" s="128"/>
      <c r="K6" s="128"/>
      <c r="L6" s="128"/>
      <c r="M6" s="128"/>
      <c r="N6" s="128"/>
      <c r="O6" s="128"/>
    </row>
    <row r="7" spans="1:15" x14ac:dyDescent="0.25">
      <c r="A7" s="99" t="s">
        <v>51</v>
      </c>
      <c r="B7" s="108">
        <v>11.200000000000001</v>
      </c>
      <c r="C7" s="106">
        <v>8.9</v>
      </c>
      <c r="D7" s="106">
        <v>45.300000000000004</v>
      </c>
      <c r="E7" s="106">
        <v>10.8</v>
      </c>
      <c r="F7" s="106">
        <v>15.9</v>
      </c>
      <c r="G7" s="106">
        <v>7.8</v>
      </c>
      <c r="H7" s="103"/>
      <c r="J7" s="128"/>
      <c r="K7" s="128"/>
      <c r="L7" s="128"/>
      <c r="M7" s="128"/>
      <c r="N7" s="128"/>
      <c r="O7" s="128"/>
    </row>
    <row r="8" spans="1:15" x14ac:dyDescent="0.25">
      <c r="A8" s="99" t="s">
        <v>16</v>
      </c>
      <c r="B8" s="108">
        <v>32.4</v>
      </c>
      <c r="C8" s="106">
        <v>5.8999999999999995</v>
      </c>
      <c r="D8" s="106">
        <v>21.5</v>
      </c>
      <c r="E8" s="106">
        <v>9.6</v>
      </c>
      <c r="F8" s="106">
        <v>13.4</v>
      </c>
      <c r="G8" s="106">
        <v>17.2</v>
      </c>
      <c r="H8" s="103"/>
      <c r="J8" s="128"/>
      <c r="K8" s="128"/>
      <c r="L8" s="128"/>
      <c r="M8" s="128"/>
      <c r="N8" s="128"/>
      <c r="O8" s="128"/>
    </row>
    <row r="9" spans="1:15" x14ac:dyDescent="0.25">
      <c r="A9" s="99" t="s">
        <v>17</v>
      </c>
      <c r="B9" s="108">
        <v>4.5999999999999996</v>
      </c>
      <c r="C9" s="106">
        <v>0</v>
      </c>
      <c r="D9" s="106" t="s">
        <v>92</v>
      </c>
      <c r="E9" s="106" t="s">
        <v>92</v>
      </c>
      <c r="F9" s="106" t="s">
        <v>92</v>
      </c>
      <c r="G9" s="106" t="s">
        <v>92</v>
      </c>
      <c r="H9" s="103">
        <v>95.4</v>
      </c>
      <c r="J9" s="128"/>
      <c r="K9" s="128"/>
      <c r="L9" s="128"/>
      <c r="M9" s="128"/>
      <c r="N9" s="128"/>
      <c r="O9" s="128"/>
    </row>
    <row r="10" spans="1:15" x14ac:dyDescent="0.25">
      <c r="A10" s="99" t="s">
        <v>18</v>
      </c>
      <c r="B10" s="108">
        <v>13.100000000000001</v>
      </c>
      <c r="C10" s="106">
        <v>5.2</v>
      </c>
      <c r="D10" s="106">
        <v>9.1999999999999993</v>
      </c>
      <c r="E10" s="106">
        <v>22.8</v>
      </c>
      <c r="F10" s="106">
        <v>29.2</v>
      </c>
      <c r="G10" s="106">
        <v>20.399999999999999</v>
      </c>
      <c r="H10" s="103"/>
      <c r="J10" s="128"/>
      <c r="K10" s="128"/>
      <c r="L10" s="128"/>
      <c r="M10" s="128"/>
      <c r="N10" s="128"/>
      <c r="O10" s="128"/>
    </row>
    <row r="11" spans="1:15" x14ac:dyDescent="0.25">
      <c r="A11" s="99" t="s">
        <v>19</v>
      </c>
      <c r="B11" s="108">
        <v>3.1</v>
      </c>
      <c r="C11" s="106">
        <v>2.2999999999999998</v>
      </c>
      <c r="D11" s="106">
        <v>14.7</v>
      </c>
      <c r="E11" s="106">
        <v>19.7</v>
      </c>
      <c r="F11" s="106">
        <v>42.9</v>
      </c>
      <c r="G11" s="106">
        <v>17.399999999999999</v>
      </c>
      <c r="H11" s="103"/>
      <c r="J11" s="128"/>
      <c r="K11" s="128"/>
      <c r="L11" s="128"/>
      <c r="M11" s="128"/>
      <c r="N11" s="128"/>
      <c r="O11" s="128"/>
    </row>
    <row r="12" spans="1:15" x14ac:dyDescent="0.25">
      <c r="A12" s="99" t="s">
        <v>20</v>
      </c>
      <c r="B12" s="108">
        <v>18.600000000000001</v>
      </c>
      <c r="C12" s="106">
        <v>5.6000000000000005</v>
      </c>
      <c r="D12" s="106">
        <v>10.7</v>
      </c>
      <c r="E12" s="106">
        <v>15.2</v>
      </c>
      <c r="F12" s="106">
        <v>26.6</v>
      </c>
      <c r="G12" s="106">
        <v>23.3</v>
      </c>
      <c r="H12" s="103"/>
      <c r="J12" s="128"/>
      <c r="K12" s="128"/>
      <c r="L12" s="128"/>
      <c r="M12" s="128"/>
      <c r="N12" s="128"/>
      <c r="O12" s="128"/>
    </row>
    <row r="13" spans="1:15" x14ac:dyDescent="0.25">
      <c r="A13" s="99" t="s">
        <v>21</v>
      </c>
      <c r="B13" s="108">
        <v>19.8</v>
      </c>
      <c r="C13" s="106">
        <v>15.4</v>
      </c>
      <c r="D13" s="106">
        <v>16.7</v>
      </c>
      <c r="E13" s="106">
        <v>11.799999999999999</v>
      </c>
      <c r="F13" s="106">
        <v>16.2</v>
      </c>
      <c r="G13" s="106">
        <v>20.200000000000003</v>
      </c>
      <c r="H13" s="103"/>
      <c r="J13" s="128"/>
      <c r="K13" s="128"/>
      <c r="L13" s="128"/>
      <c r="M13" s="128"/>
      <c r="N13" s="128"/>
      <c r="O13" s="128"/>
    </row>
    <row r="14" spans="1:15" x14ac:dyDescent="0.25">
      <c r="A14" s="99" t="s">
        <v>22</v>
      </c>
      <c r="B14" s="108">
        <v>25.900000000000002</v>
      </c>
      <c r="C14" s="106">
        <v>5.8000000000000007</v>
      </c>
      <c r="D14" s="106">
        <v>12.8</v>
      </c>
      <c r="E14" s="106">
        <v>12.8</v>
      </c>
      <c r="F14" s="106">
        <v>19.2</v>
      </c>
      <c r="G14" s="106">
        <v>23.599999999999998</v>
      </c>
      <c r="H14" s="103"/>
      <c r="J14" s="128"/>
      <c r="K14" s="128"/>
      <c r="L14" s="128"/>
      <c r="M14" s="128"/>
      <c r="N14" s="128"/>
      <c r="O14" s="128"/>
    </row>
    <row r="15" spans="1:15" x14ac:dyDescent="0.25">
      <c r="A15" s="99" t="s">
        <v>23</v>
      </c>
      <c r="B15" s="108">
        <v>14.2</v>
      </c>
      <c r="C15" s="106">
        <v>5.4</v>
      </c>
      <c r="D15" s="106">
        <v>18.5</v>
      </c>
      <c r="E15" s="106">
        <v>8.6999999999999993</v>
      </c>
      <c r="F15" s="106">
        <v>33.700000000000003</v>
      </c>
      <c r="G15" s="106">
        <v>19.5</v>
      </c>
      <c r="H15" s="103"/>
      <c r="J15" s="128"/>
      <c r="K15" s="128"/>
      <c r="L15" s="128"/>
      <c r="M15" s="128"/>
      <c r="N15" s="128"/>
      <c r="O15" s="128"/>
    </row>
    <row r="16" spans="1:15" x14ac:dyDescent="0.25">
      <c r="A16" s="99" t="s">
        <v>24</v>
      </c>
      <c r="B16" s="108">
        <v>2</v>
      </c>
      <c r="C16" s="106">
        <v>3</v>
      </c>
      <c r="D16" s="106">
        <v>18.7</v>
      </c>
      <c r="E16" s="106">
        <v>11.3</v>
      </c>
      <c r="F16" s="106">
        <v>33.800000000000004</v>
      </c>
      <c r="G16" s="106">
        <v>31.3</v>
      </c>
      <c r="H16" s="103"/>
      <c r="J16" s="128"/>
      <c r="K16" s="128"/>
      <c r="L16" s="128"/>
      <c r="M16" s="128"/>
      <c r="N16" s="128"/>
      <c r="O16" s="128"/>
    </row>
    <row r="17" spans="1:15" x14ac:dyDescent="0.25">
      <c r="A17" s="99" t="s">
        <v>25</v>
      </c>
      <c r="B17" s="108">
        <v>11.200000000000001</v>
      </c>
      <c r="C17" s="106">
        <v>4.3999999999999995</v>
      </c>
      <c r="D17" s="106">
        <v>11.799999999999999</v>
      </c>
      <c r="E17" s="106">
        <v>26.5</v>
      </c>
      <c r="F17" s="106">
        <v>27.3</v>
      </c>
      <c r="G17" s="106">
        <v>18.8</v>
      </c>
      <c r="H17" s="103"/>
      <c r="J17" s="128"/>
      <c r="K17" s="128"/>
      <c r="L17" s="128"/>
      <c r="M17" s="128"/>
      <c r="N17" s="128"/>
      <c r="O17" s="128"/>
    </row>
    <row r="18" spans="1:15" x14ac:dyDescent="0.25">
      <c r="A18" s="99" t="s">
        <v>26</v>
      </c>
      <c r="B18" s="108">
        <v>14.899999999999999</v>
      </c>
      <c r="C18" s="106">
        <v>7.1</v>
      </c>
      <c r="D18" s="106">
        <v>19.100000000000001</v>
      </c>
      <c r="E18" s="106">
        <v>17.100000000000001</v>
      </c>
      <c r="F18" s="106">
        <v>13.8</v>
      </c>
      <c r="G18" s="106">
        <v>28.000000000000004</v>
      </c>
      <c r="H18" s="103"/>
      <c r="J18" s="128"/>
      <c r="K18" s="128"/>
      <c r="L18" s="128"/>
      <c r="M18" s="128"/>
      <c r="N18" s="128"/>
      <c r="O18" s="128"/>
    </row>
    <row r="19" spans="1:15" x14ac:dyDescent="0.25">
      <c r="A19" s="99" t="s">
        <v>27</v>
      </c>
      <c r="B19" s="108">
        <v>25.6</v>
      </c>
      <c r="C19" s="106">
        <v>11.4</v>
      </c>
      <c r="D19" s="106">
        <v>21.5</v>
      </c>
      <c r="E19" s="106">
        <v>16.600000000000001</v>
      </c>
      <c r="F19" s="106">
        <v>8.2000000000000011</v>
      </c>
      <c r="G19" s="106">
        <v>16.8</v>
      </c>
      <c r="H19" s="103"/>
      <c r="J19" s="128"/>
      <c r="K19" s="128"/>
      <c r="L19" s="128"/>
      <c r="M19" s="128"/>
      <c r="N19" s="128"/>
      <c r="O19" s="128"/>
    </row>
    <row r="20" spans="1:15" x14ac:dyDescent="0.25">
      <c r="A20" s="99" t="s">
        <v>28</v>
      </c>
      <c r="B20" s="108">
        <v>14.499999999999998</v>
      </c>
      <c r="C20" s="106">
        <v>8.6999999999999993</v>
      </c>
      <c r="D20" s="106">
        <v>17.399999999999999</v>
      </c>
      <c r="E20" s="106">
        <v>18.099999999999998</v>
      </c>
      <c r="F20" s="106">
        <v>20.5</v>
      </c>
      <c r="G20" s="106">
        <v>20.8</v>
      </c>
      <c r="H20" s="103"/>
      <c r="J20" s="128"/>
      <c r="K20" s="128"/>
      <c r="L20" s="128"/>
      <c r="M20" s="128"/>
      <c r="N20" s="128"/>
      <c r="O20" s="128"/>
    </row>
    <row r="21" spans="1:15" x14ac:dyDescent="0.25">
      <c r="A21" s="99" t="s">
        <v>29</v>
      </c>
      <c r="B21" s="108">
        <v>22.2</v>
      </c>
      <c r="C21" s="106">
        <v>11.4</v>
      </c>
      <c r="D21" s="106">
        <v>29.5</v>
      </c>
      <c r="E21" s="106">
        <v>9.5</v>
      </c>
      <c r="F21" s="106">
        <v>7.1999999999999993</v>
      </c>
      <c r="G21" s="106">
        <v>20.100000000000001</v>
      </c>
      <c r="H21" s="103"/>
      <c r="J21" s="128"/>
      <c r="K21" s="128"/>
      <c r="L21" s="128"/>
      <c r="M21" s="128"/>
      <c r="N21" s="128"/>
      <c r="O21" s="128"/>
    </row>
    <row r="22" spans="1:15" x14ac:dyDescent="0.25">
      <c r="A22" s="100" t="s">
        <v>30</v>
      </c>
      <c r="B22" s="109">
        <v>14.799999999999999</v>
      </c>
      <c r="C22" s="107">
        <v>11.899999999999999</v>
      </c>
      <c r="D22" s="107">
        <v>20.9</v>
      </c>
      <c r="E22" s="107">
        <v>15.6</v>
      </c>
      <c r="F22" s="107">
        <v>17</v>
      </c>
      <c r="G22" s="107">
        <v>19.8</v>
      </c>
      <c r="H22" s="104"/>
      <c r="J22" s="128"/>
      <c r="K22" s="128"/>
      <c r="L22" s="128"/>
      <c r="M22" s="128"/>
      <c r="N22" s="128"/>
      <c r="O22" s="128"/>
    </row>
    <row r="23" spans="1:15" x14ac:dyDescent="0.25">
      <c r="A23" s="101" t="s">
        <v>116</v>
      </c>
    </row>
    <row r="24" spans="1:15" x14ac:dyDescent="0.25">
      <c r="A24" s="101" t="s">
        <v>7</v>
      </c>
    </row>
  </sheetData>
  <hyperlinks>
    <hyperlink ref="E1" location="'Lisez-moi'!A1" display="Retour au sommaire"/>
  </hyperlink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D15"/>
  <sheetViews>
    <sheetView workbookViewId="0">
      <selection activeCell="K34" sqref="K34"/>
    </sheetView>
  </sheetViews>
  <sheetFormatPr baseColWidth="10" defaultRowHeight="15" x14ac:dyDescent="0.25"/>
  <cols>
    <col min="1" max="1" width="90.42578125" style="95" customWidth="1"/>
    <col min="2" max="16384" width="11.42578125" style="95"/>
  </cols>
  <sheetData>
    <row r="1" spans="1:4" x14ac:dyDescent="0.25">
      <c r="A1" s="97" t="s">
        <v>230</v>
      </c>
      <c r="D1" s="129" t="s">
        <v>111</v>
      </c>
    </row>
    <row r="3" spans="1:4" x14ac:dyDescent="0.25">
      <c r="A3" s="95" t="s">
        <v>231</v>
      </c>
    </row>
    <row r="5" spans="1:4" x14ac:dyDescent="0.25">
      <c r="A5" s="96" t="s">
        <v>83</v>
      </c>
      <c r="B5" s="114">
        <v>17.299999999999997</v>
      </c>
    </row>
    <row r="6" spans="1:4" x14ac:dyDescent="0.25">
      <c r="A6" s="118" t="s">
        <v>84</v>
      </c>
      <c r="B6" s="115">
        <v>36.199999999999996</v>
      </c>
    </row>
    <row r="7" spans="1:4" x14ac:dyDescent="0.25">
      <c r="A7" s="118" t="s">
        <v>85</v>
      </c>
      <c r="B7" s="115">
        <v>10.299999999999999</v>
      </c>
    </row>
    <row r="8" spans="1:4" x14ac:dyDescent="0.25">
      <c r="A8" s="118" t="s">
        <v>86</v>
      </c>
      <c r="B8" s="115">
        <v>29.9</v>
      </c>
    </row>
    <row r="9" spans="1:4" x14ac:dyDescent="0.25">
      <c r="A9" s="118" t="s">
        <v>87</v>
      </c>
      <c r="B9" s="115">
        <v>9.3000000000000007</v>
      </c>
    </row>
    <row r="10" spans="1:4" x14ac:dyDescent="0.25">
      <c r="A10" s="118" t="s">
        <v>88</v>
      </c>
      <c r="B10" s="115">
        <v>4.7</v>
      </c>
    </row>
    <row r="11" spans="1:4" x14ac:dyDescent="0.25">
      <c r="A11" s="118" t="s">
        <v>89</v>
      </c>
      <c r="B11" s="115">
        <v>10.199999999999999</v>
      </c>
    </row>
    <row r="12" spans="1:4" x14ac:dyDescent="0.25">
      <c r="A12" s="118" t="s">
        <v>90</v>
      </c>
      <c r="B12" s="115">
        <v>21.3</v>
      </c>
    </row>
    <row r="13" spans="1:4" x14ac:dyDescent="0.25">
      <c r="A13" s="122" t="s">
        <v>91</v>
      </c>
      <c r="B13" s="116">
        <v>18.899999999999999</v>
      </c>
    </row>
    <row r="14" spans="1:4" x14ac:dyDescent="0.25">
      <c r="A14" s="101" t="s">
        <v>116</v>
      </c>
    </row>
    <row r="15" spans="1:4" x14ac:dyDescent="0.25">
      <c r="A15" s="101" t="s">
        <v>7</v>
      </c>
    </row>
  </sheetData>
  <hyperlinks>
    <hyperlink ref="D1" location="'Lisez-moi'!A1" display="Retour au sommaire"/>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Q16"/>
  <sheetViews>
    <sheetView topLeftCell="A4" workbookViewId="0">
      <selection activeCell="J37" sqref="J37"/>
    </sheetView>
  </sheetViews>
  <sheetFormatPr baseColWidth="10" defaultRowHeight="15" x14ac:dyDescent="0.25"/>
  <cols>
    <col min="1" max="1" width="90.42578125" style="95" customWidth="1"/>
    <col min="2" max="16384" width="11.42578125" style="95"/>
  </cols>
  <sheetData>
    <row r="1" spans="1:17" x14ac:dyDescent="0.25">
      <c r="A1" s="97" t="s">
        <v>230</v>
      </c>
      <c r="D1" s="129" t="s">
        <v>111</v>
      </c>
    </row>
    <row r="3" spans="1:17" x14ac:dyDescent="0.25">
      <c r="A3" s="95" t="s">
        <v>232</v>
      </c>
    </row>
    <row r="5" spans="1:17" x14ac:dyDescent="0.25">
      <c r="B5" s="113" t="s">
        <v>0</v>
      </c>
      <c r="C5" s="110" t="s">
        <v>8</v>
      </c>
      <c r="D5" s="111" t="s">
        <v>9</v>
      </c>
      <c r="E5" s="111" t="s">
        <v>10</v>
      </c>
      <c r="F5" s="111" t="s">
        <v>11</v>
      </c>
      <c r="G5" s="111" t="s">
        <v>12</v>
      </c>
      <c r="H5" s="112" t="s">
        <v>13</v>
      </c>
    </row>
    <row r="6" spans="1:17" x14ac:dyDescent="0.25">
      <c r="A6" s="96" t="s">
        <v>83</v>
      </c>
      <c r="B6" s="114">
        <v>17.299999999999997</v>
      </c>
      <c r="C6" s="105">
        <v>25.6</v>
      </c>
      <c r="D6" s="105">
        <v>22.2</v>
      </c>
      <c r="E6" s="105">
        <v>20.8</v>
      </c>
      <c r="F6" s="105">
        <v>19.7</v>
      </c>
      <c r="G6" s="105">
        <v>16.5</v>
      </c>
      <c r="H6" s="102">
        <v>11.4</v>
      </c>
      <c r="J6" s="128"/>
      <c r="K6" s="128"/>
      <c r="L6" s="128"/>
      <c r="M6" s="128"/>
      <c r="N6" s="128"/>
      <c r="O6" s="128"/>
      <c r="P6" s="128"/>
      <c r="Q6" s="128"/>
    </row>
    <row r="7" spans="1:17" x14ac:dyDescent="0.25">
      <c r="A7" s="118" t="s">
        <v>84</v>
      </c>
      <c r="B7" s="115">
        <v>36.199999999999996</v>
      </c>
      <c r="C7" s="106">
        <v>36.1</v>
      </c>
      <c r="D7" s="106">
        <v>36.799999999999997</v>
      </c>
      <c r="E7" s="106">
        <v>35.9</v>
      </c>
      <c r="F7" s="106">
        <v>36</v>
      </c>
      <c r="G7" s="106">
        <v>32.1</v>
      </c>
      <c r="H7" s="103">
        <v>37.200000000000003</v>
      </c>
      <c r="J7" s="128"/>
      <c r="K7" s="128"/>
      <c r="L7" s="128"/>
      <c r="M7" s="128"/>
      <c r="N7" s="128"/>
      <c r="O7" s="128"/>
      <c r="P7" s="128"/>
      <c r="Q7" s="128"/>
    </row>
    <row r="8" spans="1:17" x14ac:dyDescent="0.25">
      <c r="A8" s="118" t="s">
        <v>85</v>
      </c>
      <c r="B8" s="115">
        <v>10.299999999999999</v>
      </c>
      <c r="C8" s="106">
        <v>5.8999999999999995</v>
      </c>
      <c r="D8" s="106">
        <v>8.6</v>
      </c>
      <c r="E8" s="106">
        <v>10.299999999999999</v>
      </c>
      <c r="F8" s="106">
        <v>9.6</v>
      </c>
      <c r="G8" s="106">
        <v>9.5</v>
      </c>
      <c r="H8" s="103">
        <v>12.8</v>
      </c>
      <c r="J8" s="128"/>
      <c r="K8" s="128"/>
      <c r="L8" s="128"/>
      <c r="M8" s="128"/>
      <c r="N8" s="128"/>
      <c r="O8" s="128"/>
      <c r="P8" s="128"/>
      <c r="Q8" s="128"/>
    </row>
    <row r="9" spans="1:17" x14ac:dyDescent="0.25">
      <c r="A9" s="118" t="s">
        <v>86</v>
      </c>
      <c r="B9" s="115">
        <v>29.9</v>
      </c>
      <c r="C9" s="106">
        <v>24.7</v>
      </c>
      <c r="D9" s="106">
        <v>25.2</v>
      </c>
      <c r="E9" s="106">
        <v>26.400000000000002</v>
      </c>
      <c r="F9" s="106">
        <v>25.4</v>
      </c>
      <c r="G9" s="106">
        <v>29.299999999999997</v>
      </c>
      <c r="H9" s="103">
        <v>35.9</v>
      </c>
      <c r="J9" s="128"/>
      <c r="K9" s="128"/>
      <c r="L9" s="128"/>
      <c r="M9" s="128"/>
      <c r="N9" s="128"/>
      <c r="O9" s="128"/>
      <c r="P9" s="128"/>
      <c r="Q9" s="128"/>
    </row>
    <row r="10" spans="1:17" x14ac:dyDescent="0.25">
      <c r="A10" s="118" t="s">
        <v>87</v>
      </c>
      <c r="B10" s="115">
        <v>9.3000000000000007</v>
      </c>
      <c r="C10" s="106">
        <v>9.3000000000000007</v>
      </c>
      <c r="D10" s="106">
        <v>5.7</v>
      </c>
      <c r="E10" s="106">
        <v>7.5</v>
      </c>
      <c r="F10" s="106">
        <v>10.100000000000001</v>
      </c>
      <c r="G10" s="106">
        <v>10.299999999999999</v>
      </c>
      <c r="H10" s="103">
        <v>11.899999999999999</v>
      </c>
      <c r="J10" s="128"/>
      <c r="K10" s="128"/>
      <c r="L10" s="128"/>
      <c r="M10" s="128"/>
      <c r="N10" s="128"/>
      <c r="O10" s="128"/>
      <c r="P10" s="128"/>
      <c r="Q10" s="128"/>
    </row>
    <row r="11" spans="1:17" x14ac:dyDescent="0.25">
      <c r="A11" s="118" t="s">
        <v>88</v>
      </c>
      <c r="B11" s="115">
        <v>4.7</v>
      </c>
      <c r="C11" s="106">
        <v>4.7</v>
      </c>
      <c r="D11" s="106">
        <v>0.8</v>
      </c>
      <c r="E11" s="106">
        <v>2</v>
      </c>
      <c r="F11" s="106">
        <v>3.1</v>
      </c>
      <c r="G11" s="106">
        <v>2.6</v>
      </c>
      <c r="H11" s="103">
        <v>9.1999999999999993</v>
      </c>
      <c r="J11" s="128"/>
      <c r="K11" s="128"/>
      <c r="L11" s="128"/>
      <c r="M11" s="128"/>
      <c r="N11" s="128"/>
      <c r="O11" s="128"/>
      <c r="P11" s="128"/>
      <c r="Q11" s="128"/>
    </row>
    <row r="12" spans="1:17" x14ac:dyDescent="0.25">
      <c r="A12" s="118" t="s">
        <v>89</v>
      </c>
      <c r="B12" s="115">
        <v>10.199999999999999</v>
      </c>
      <c r="C12" s="106">
        <v>10.199999999999999</v>
      </c>
      <c r="D12" s="106">
        <v>8.5</v>
      </c>
      <c r="E12" s="106">
        <v>9.3000000000000007</v>
      </c>
      <c r="F12" s="106">
        <v>9.3000000000000007</v>
      </c>
      <c r="G12" s="106">
        <v>8.6999999999999993</v>
      </c>
      <c r="H12" s="103">
        <v>11.4</v>
      </c>
      <c r="J12" s="128"/>
      <c r="K12" s="128"/>
      <c r="L12" s="128"/>
      <c r="M12" s="128"/>
      <c r="N12" s="128"/>
      <c r="O12" s="128"/>
      <c r="P12" s="128"/>
      <c r="Q12" s="128"/>
    </row>
    <row r="13" spans="1:17" x14ac:dyDescent="0.25">
      <c r="A13" s="118" t="s">
        <v>90</v>
      </c>
      <c r="B13" s="115">
        <v>21.3</v>
      </c>
      <c r="C13" s="106">
        <v>21.3</v>
      </c>
      <c r="D13" s="106">
        <v>12.6</v>
      </c>
      <c r="E13" s="106">
        <v>15.9</v>
      </c>
      <c r="F13" s="106">
        <v>18.5</v>
      </c>
      <c r="G13" s="106">
        <v>23.799999999999997</v>
      </c>
      <c r="H13" s="103">
        <v>30.5</v>
      </c>
      <c r="J13" s="128"/>
      <c r="K13" s="128"/>
      <c r="L13" s="128"/>
      <c r="M13" s="128"/>
      <c r="N13" s="128"/>
      <c r="O13" s="128"/>
      <c r="P13" s="128"/>
      <c r="Q13" s="128"/>
    </row>
    <row r="14" spans="1:17" x14ac:dyDescent="0.25">
      <c r="A14" s="122" t="s">
        <v>91</v>
      </c>
      <c r="B14" s="116">
        <v>18.899999999999999</v>
      </c>
      <c r="C14" s="107">
        <v>18.899999999999999</v>
      </c>
      <c r="D14" s="107">
        <v>20.5</v>
      </c>
      <c r="E14" s="107">
        <v>19.900000000000002</v>
      </c>
      <c r="F14" s="107">
        <v>20.100000000000001</v>
      </c>
      <c r="G14" s="107">
        <v>22.1</v>
      </c>
      <c r="H14" s="104">
        <v>16.7</v>
      </c>
      <c r="J14" s="128"/>
      <c r="K14" s="128"/>
      <c r="L14" s="128"/>
      <c r="M14" s="128"/>
      <c r="N14" s="128"/>
      <c r="O14" s="128"/>
      <c r="P14" s="128"/>
      <c r="Q14" s="128"/>
    </row>
    <row r="15" spans="1:17" x14ac:dyDescent="0.25">
      <c r="A15" s="101" t="s">
        <v>116</v>
      </c>
    </row>
    <row r="16" spans="1:17" x14ac:dyDescent="0.25">
      <c r="A16" s="101" t="s">
        <v>7</v>
      </c>
    </row>
  </sheetData>
  <hyperlinks>
    <hyperlink ref="D1" location="'Lisez-moi'!A1" display="Retour au sommaire"/>
  </hyperlink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dimension ref="A1:T24"/>
  <sheetViews>
    <sheetView tabSelected="1" topLeftCell="A16" workbookViewId="0">
      <selection activeCell="L36" sqref="L36"/>
    </sheetView>
  </sheetViews>
  <sheetFormatPr baseColWidth="10" defaultRowHeight="15" x14ac:dyDescent="0.25"/>
  <cols>
    <col min="1" max="1" width="90.42578125" style="95" customWidth="1"/>
    <col min="2" max="2" width="11.42578125" style="95"/>
    <col min="3" max="3" width="11.5703125" style="95" customWidth="1"/>
    <col min="4" max="16384" width="11.42578125" style="95"/>
  </cols>
  <sheetData>
    <row r="1" spans="1:20" x14ac:dyDescent="0.25">
      <c r="A1" s="97" t="s">
        <v>230</v>
      </c>
      <c r="D1" s="129" t="s">
        <v>111</v>
      </c>
    </row>
    <row r="3" spans="1:20" x14ac:dyDescent="0.25">
      <c r="A3" s="95" t="s">
        <v>233</v>
      </c>
    </row>
    <row r="5" spans="1:20" ht="184.5" x14ac:dyDescent="0.25">
      <c r="B5" s="121" t="s">
        <v>83</v>
      </c>
      <c r="C5" s="119" t="s">
        <v>84</v>
      </c>
      <c r="D5" s="119" t="s">
        <v>85</v>
      </c>
      <c r="E5" s="119" t="s">
        <v>86</v>
      </c>
      <c r="F5" s="119" t="s">
        <v>87</v>
      </c>
      <c r="G5" s="119" t="s">
        <v>88</v>
      </c>
      <c r="H5" s="119" t="s">
        <v>89</v>
      </c>
      <c r="I5" s="119" t="s">
        <v>90</v>
      </c>
      <c r="J5" s="120" t="s">
        <v>91</v>
      </c>
    </row>
    <row r="6" spans="1:20" x14ac:dyDescent="0.25">
      <c r="A6" s="117" t="s">
        <v>0</v>
      </c>
      <c r="B6" s="125">
        <v>17.299999999999997</v>
      </c>
      <c r="C6" s="123">
        <v>36.199999999999996</v>
      </c>
      <c r="D6" s="123">
        <v>10.299999999999999</v>
      </c>
      <c r="E6" s="123">
        <v>29.9</v>
      </c>
      <c r="F6" s="123">
        <v>9.3000000000000007</v>
      </c>
      <c r="G6" s="123">
        <v>4.7</v>
      </c>
      <c r="H6" s="123">
        <v>10.199999999999999</v>
      </c>
      <c r="I6" s="123">
        <v>21.3</v>
      </c>
      <c r="J6" s="124">
        <v>18.899999999999999</v>
      </c>
      <c r="L6" s="128"/>
      <c r="M6" s="128"/>
      <c r="N6" s="128"/>
      <c r="O6" s="128"/>
      <c r="P6" s="128"/>
      <c r="Q6" s="128"/>
      <c r="R6" s="128"/>
      <c r="S6" s="128"/>
      <c r="T6" s="128"/>
    </row>
    <row r="7" spans="1:20" x14ac:dyDescent="0.25">
      <c r="A7" s="99" t="s">
        <v>51</v>
      </c>
      <c r="B7" s="108">
        <v>24.7</v>
      </c>
      <c r="C7" s="106">
        <v>47.199999999999996</v>
      </c>
      <c r="D7" s="106">
        <v>7.3</v>
      </c>
      <c r="E7" s="106">
        <v>40.300000000000004</v>
      </c>
      <c r="F7" s="106">
        <v>2.6</v>
      </c>
      <c r="G7" s="106">
        <v>6</v>
      </c>
      <c r="H7" s="106">
        <v>2.5</v>
      </c>
      <c r="I7" s="106">
        <v>12.5</v>
      </c>
      <c r="J7" s="103">
        <v>13.900000000000002</v>
      </c>
      <c r="L7" s="128"/>
      <c r="M7" s="128"/>
      <c r="N7" s="128"/>
      <c r="O7" s="128"/>
      <c r="P7" s="128"/>
      <c r="Q7" s="128"/>
      <c r="R7" s="128"/>
      <c r="S7" s="128"/>
      <c r="T7" s="128"/>
    </row>
    <row r="8" spans="1:20" x14ac:dyDescent="0.25">
      <c r="A8" s="99" t="s">
        <v>16</v>
      </c>
      <c r="B8" s="108">
        <v>28.9</v>
      </c>
      <c r="C8" s="106">
        <v>33.700000000000003</v>
      </c>
      <c r="D8" s="106">
        <v>7.7</v>
      </c>
      <c r="E8" s="106">
        <v>19.600000000000001</v>
      </c>
      <c r="F8" s="106">
        <v>5.3</v>
      </c>
      <c r="G8" s="106">
        <v>2.2999999999999998</v>
      </c>
      <c r="H8" s="106">
        <v>7.3999999999999995</v>
      </c>
      <c r="I8" s="106">
        <v>14.7</v>
      </c>
      <c r="J8" s="103">
        <v>15.2</v>
      </c>
      <c r="L8" s="128"/>
      <c r="M8" s="128"/>
      <c r="N8" s="128"/>
      <c r="O8" s="128"/>
      <c r="P8" s="128"/>
      <c r="Q8" s="128"/>
      <c r="R8" s="128"/>
      <c r="S8" s="128"/>
      <c r="T8" s="128"/>
    </row>
    <row r="9" spans="1:20" x14ac:dyDescent="0.25">
      <c r="A9" s="99" t="s">
        <v>17</v>
      </c>
      <c r="B9" s="130" t="s">
        <v>92</v>
      </c>
      <c r="C9" s="131" t="s">
        <v>92</v>
      </c>
      <c r="D9" s="131" t="s">
        <v>92</v>
      </c>
      <c r="E9" s="131" t="s">
        <v>92</v>
      </c>
      <c r="F9" s="131" t="s">
        <v>92</v>
      </c>
      <c r="G9" s="131" t="s">
        <v>92</v>
      </c>
      <c r="H9" s="131" t="s">
        <v>92</v>
      </c>
      <c r="I9" s="131" t="s">
        <v>92</v>
      </c>
      <c r="J9" s="103">
        <v>0</v>
      </c>
      <c r="L9" s="128"/>
      <c r="M9" s="128"/>
      <c r="N9" s="128"/>
      <c r="O9" s="128"/>
      <c r="P9" s="128"/>
      <c r="Q9" s="128"/>
      <c r="R9" s="128"/>
      <c r="S9" s="128"/>
      <c r="T9" s="128"/>
    </row>
    <row r="10" spans="1:20" x14ac:dyDescent="0.25">
      <c r="A10" s="99" t="s">
        <v>18</v>
      </c>
      <c r="B10" s="108">
        <v>15.2</v>
      </c>
      <c r="C10" s="106">
        <v>53.800000000000004</v>
      </c>
      <c r="D10" s="106">
        <v>2.9000000000000004</v>
      </c>
      <c r="E10" s="106">
        <v>18.3</v>
      </c>
      <c r="F10" s="106">
        <v>5.8000000000000007</v>
      </c>
      <c r="G10" s="106">
        <v>5.7</v>
      </c>
      <c r="H10" s="106">
        <v>24.8</v>
      </c>
      <c r="I10" s="106">
        <v>14.2</v>
      </c>
      <c r="J10" s="103">
        <v>14.799999999999999</v>
      </c>
      <c r="L10" s="128"/>
      <c r="M10" s="128"/>
      <c r="N10" s="128"/>
      <c r="O10" s="128"/>
      <c r="P10" s="128"/>
      <c r="Q10" s="128"/>
      <c r="R10" s="128"/>
      <c r="S10" s="128"/>
      <c r="T10" s="128"/>
    </row>
    <row r="11" spans="1:20" x14ac:dyDescent="0.25">
      <c r="A11" s="99" t="s">
        <v>19</v>
      </c>
      <c r="B11" s="108">
        <v>4.2</v>
      </c>
      <c r="C11" s="106">
        <v>48.199999999999996</v>
      </c>
      <c r="D11" s="106">
        <v>1.4000000000000001</v>
      </c>
      <c r="E11" s="106">
        <v>46</v>
      </c>
      <c r="F11" s="106">
        <v>8.4</v>
      </c>
      <c r="G11" s="106">
        <v>24</v>
      </c>
      <c r="H11" s="106">
        <v>30.9</v>
      </c>
      <c r="I11" s="106">
        <v>30.7</v>
      </c>
      <c r="J11" s="103">
        <v>10.100000000000001</v>
      </c>
      <c r="L11" s="128"/>
      <c r="M11" s="128"/>
      <c r="N11" s="128"/>
      <c r="O11" s="128"/>
      <c r="P11" s="128"/>
      <c r="Q11" s="128"/>
      <c r="R11" s="128"/>
      <c r="S11" s="128"/>
      <c r="T11" s="128"/>
    </row>
    <row r="12" spans="1:20" x14ac:dyDescent="0.25">
      <c r="A12" s="99" t="s">
        <v>20</v>
      </c>
      <c r="B12" s="108">
        <v>16.5</v>
      </c>
      <c r="C12" s="106">
        <v>51.9</v>
      </c>
      <c r="D12" s="106">
        <v>5.2</v>
      </c>
      <c r="E12" s="106">
        <v>19.5</v>
      </c>
      <c r="F12" s="106">
        <v>5.3</v>
      </c>
      <c r="G12" s="106">
        <v>2.1999999999999997</v>
      </c>
      <c r="H12" s="106">
        <v>15.5</v>
      </c>
      <c r="I12" s="106">
        <v>15.6</v>
      </c>
      <c r="J12" s="103">
        <v>13.600000000000001</v>
      </c>
      <c r="L12" s="128"/>
      <c r="M12" s="128"/>
      <c r="N12" s="128"/>
      <c r="O12" s="128"/>
      <c r="P12" s="128"/>
      <c r="Q12" s="128"/>
      <c r="R12" s="128"/>
      <c r="S12" s="128"/>
      <c r="T12" s="128"/>
    </row>
    <row r="13" spans="1:20" x14ac:dyDescent="0.25">
      <c r="A13" s="99" t="s">
        <v>21</v>
      </c>
      <c r="B13" s="108">
        <v>21.099999999999998</v>
      </c>
      <c r="C13" s="106">
        <v>31.5</v>
      </c>
      <c r="D13" s="106">
        <v>7.6</v>
      </c>
      <c r="E13" s="106">
        <v>30.099999999999998</v>
      </c>
      <c r="F13" s="106">
        <v>4</v>
      </c>
      <c r="G13" s="106">
        <v>0.89999999999999991</v>
      </c>
      <c r="H13" s="106">
        <v>17</v>
      </c>
      <c r="I13" s="106">
        <v>14.2</v>
      </c>
      <c r="J13" s="103">
        <v>19.600000000000001</v>
      </c>
      <c r="L13" s="128"/>
      <c r="M13" s="128"/>
      <c r="N13" s="128"/>
      <c r="O13" s="128"/>
      <c r="P13" s="128"/>
      <c r="Q13" s="128"/>
      <c r="R13" s="128"/>
      <c r="S13" s="128"/>
      <c r="T13" s="128"/>
    </row>
    <row r="14" spans="1:20" x14ac:dyDescent="0.25">
      <c r="A14" s="99" t="s">
        <v>22</v>
      </c>
      <c r="B14" s="108">
        <v>21.8</v>
      </c>
      <c r="C14" s="106">
        <v>28.9</v>
      </c>
      <c r="D14" s="106">
        <v>14.399999999999999</v>
      </c>
      <c r="E14" s="106">
        <v>23.5</v>
      </c>
      <c r="F14" s="106">
        <v>5</v>
      </c>
      <c r="G14" s="106">
        <v>2.2999999999999998</v>
      </c>
      <c r="H14" s="106">
        <v>21.2</v>
      </c>
      <c r="I14" s="106">
        <v>29.5</v>
      </c>
      <c r="J14" s="103">
        <v>16.600000000000001</v>
      </c>
      <c r="L14" s="128"/>
      <c r="M14" s="128"/>
      <c r="N14" s="128"/>
      <c r="O14" s="128"/>
      <c r="P14" s="128"/>
      <c r="Q14" s="128"/>
      <c r="R14" s="128"/>
      <c r="S14" s="128"/>
      <c r="T14" s="128"/>
    </row>
    <row r="15" spans="1:20" x14ac:dyDescent="0.25">
      <c r="A15" s="99" t="s">
        <v>23</v>
      </c>
      <c r="B15" s="108">
        <v>14.899999999999999</v>
      </c>
      <c r="C15" s="106">
        <v>49.7</v>
      </c>
      <c r="D15" s="106">
        <v>13.700000000000001</v>
      </c>
      <c r="E15" s="106">
        <v>26.6</v>
      </c>
      <c r="F15" s="106">
        <v>4.2</v>
      </c>
      <c r="G15" s="106">
        <v>1.7999999999999998</v>
      </c>
      <c r="H15" s="106">
        <v>3.5000000000000004</v>
      </c>
      <c r="I15" s="106">
        <v>9.8000000000000007</v>
      </c>
      <c r="J15" s="103">
        <v>23</v>
      </c>
      <c r="L15" s="128"/>
      <c r="M15" s="128"/>
      <c r="N15" s="128"/>
      <c r="O15" s="128"/>
      <c r="P15" s="128"/>
      <c r="Q15" s="128"/>
      <c r="R15" s="128"/>
      <c r="S15" s="128"/>
      <c r="T15" s="128"/>
    </row>
    <row r="16" spans="1:20" x14ac:dyDescent="0.25">
      <c r="A16" s="99" t="s">
        <v>24</v>
      </c>
      <c r="B16" s="108">
        <v>5.6000000000000005</v>
      </c>
      <c r="C16" s="106">
        <v>50.6</v>
      </c>
      <c r="D16" s="106">
        <v>4.1000000000000005</v>
      </c>
      <c r="E16" s="106">
        <v>47</v>
      </c>
      <c r="F16" s="106">
        <v>6.7</v>
      </c>
      <c r="G16" s="106">
        <v>1</v>
      </c>
      <c r="H16" s="106">
        <v>4.2</v>
      </c>
      <c r="I16" s="106">
        <v>21.5</v>
      </c>
      <c r="J16" s="103">
        <v>29.9</v>
      </c>
      <c r="L16" s="128"/>
      <c r="M16" s="128"/>
      <c r="N16" s="128"/>
      <c r="O16" s="128"/>
      <c r="P16" s="128"/>
      <c r="Q16" s="128"/>
      <c r="R16" s="128"/>
      <c r="S16" s="128"/>
      <c r="T16" s="128"/>
    </row>
    <row r="17" spans="1:20" x14ac:dyDescent="0.25">
      <c r="A17" s="99" t="s">
        <v>25</v>
      </c>
      <c r="B17" s="108">
        <v>10.7</v>
      </c>
      <c r="C17" s="106">
        <v>44.7</v>
      </c>
      <c r="D17" s="106">
        <v>3.3000000000000003</v>
      </c>
      <c r="E17" s="106">
        <v>31.6</v>
      </c>
      <c r="F17" s="106">
        <v>28.1</v>
      </c>
      <c r="G17" s="106">
        <v>16.8</v>
      </c>
      <c r="H17" s="106">
        <v>2.4</v>
      </c>
      <c r="I17" s="106">
        <v>33.6</v>
      </c>
      <c r="J17" s="103">
        <v>17.399999999999999</v>
      </c>
      <c r="L17" s="128"/>
      <c r="M17" s="128"/>
      <c r="N17" s="128"/>
      <c r="O17" s="128"/>
      <c r="P17" s="128"/>
      <c r="Q17" s="128"/>
      <c r="R17" s="128"/>
      <c r="S17" s="128"/>
      <c r="T17" s="128"/>
    </row>
    <row r="18" spans="1:20" x14ac:dyDescent="0.25">
      <c r="A18" s="99" t="s">
        <v>26</v>
      </c>
      <c r="B18" s="108">
        <v>14.000000000000002</v>
      </c>
      <c r="C18" s="106">
        <v>30.4</v>
      </c>
      <c r="D18" s="106">
        <v>7.0000000000000009</v>
      </c>
      <c r="E18" s="106">
        <v>25.2</v>
      </c>
      <c r="F18" s="106">
        <v>15.8</v>
      </c>
      <c r="G18" s="106">
        <v>10.299999999999999</v>
      </c>
      <c r="H18" s="106">
        <v>1.0999999999999999</v>
      </c>
      <c r="I18" s="106">
        <v>36.700000000000003</v>
      </c>
      <c r="J18" s="103">
        <v>17.899999999999999</v>
      </c>
      <c r="L18" s="128"/>
      <c r="M18" s="128"/>
      <c r="N18" s="128"/>
      <c r="O18" s="128"/>
      <c r="P18" s="128"/>
      <c r="Q18" s="128"/>
      <c r="R18" s="128"/>
      <c r="S18" s="128"/>
      <c r="T18" s="128"/>
    </row>
    <row r="19" spans="1:20" x14ac:dyDescent="0.25">
      <c r="A19" s="99" t="s">
        <v>27</v>
      </c>
      <c r="B19" s="108">
        <v>19</v>
      </c>
      <c r="C19" s="106">
        <v>20.8</v>
      </c>
      <c r="D19" s="106">
        <v>13.3</v>
      </c>
      <c r="E19" s="106">
        <v>31.5</v>
      </c>
      <c r="F19" s="106">
        <v>8</v>
      </c>
      <c r="G19" s="106">
        <v>1.2</v>
      </c>
      <c r="H19" s="106">
        <v>4.8</v>
      </c>
      <c r="I19" s="106">
        <v>37.299999999999997</v>
      </c>
      <c r="J19" s="103">
        <v>17.399999999999999</v>
      </c>
      <c r="L19" s="128"/>
      <c r="M19" s="128"/>
      <c r="N19" s="128"/>
      <c r="O19" s="128"/>
      <c r="P19" s="128"/>
      <c r="Q19" s="128"/>
      <c r="R19" s="128"/>
      <c r="S19" s="128"/>
      <c r="T19" s="128"/>
    </row>
    <row r="20" spans="1:20" x14ac:dyDescent="0.25">
      <c r="A20" s="99" t="s">
        <v>28</v>
      </c>
      <c r="B20" s="108">
        <v>15.4</v>
      </c>
      <c r="C20" s="106">
        <v>43.7</v>
      </c>
      <c r="D20" s="106">
        <v>8.6</v>
      </c>
      <c r="E20" s="106">
        <v>24.8</v>
      </c>
      <c r="F20" s="106">
        <v>17.7</v>
      </c>
      <c r="G20" s="106">
        <v>6.9</v>
      </c>
      <c r="H20" s="106">
        <v>6.8000000000000007</v>
      </c>
      <c r="I20" s="106">
        <v>19.600000000000001</v>
      </c>
      <c r="J20" s="103">
        <v>20.200000000000003</v>
      </c>
      <c r="L20" s="128"/>
      <c r="M20" s="128"/>
      <c r="N20" s="128"/>
      <c r="O20" s="128"/>
      <c r="P20" s="128"/>
      <c r="Q20" s="128"/>
      <c r="R20" s="128"/>
      <c r="S20" s="128"/>
      <c r="T20" s="128"/>
    </row>
    <row r="21" spans="1:20" x14ac:dyDescent="0.25">
      <c r="A21" s="99" t="s">
        <v>29</v>
      </c>
      <c r="B21" s="108">
        <v>20.3</v>
      </c>
      <c r="C21" s="106">
        <v>15.7</v>
      </c>
      <c r="D21" s="106">
        <v>19.400000000000002</v>
      </c>
      <c r="E21" s="106">
        <v>41.199999999999996</v>
      </c>
      <c r="F21" s="106">
        <v>7.1999999999999993</v>
      </c>
      <c r="G21" s="106">
        <v>1.9</v>
      </c>
      <c r="H21" s="106">
        <v>5.3</v>
      </c>
      <c r="I21" s="106">
        <v>19.100000000000001</v>
      </c>
      <c r="J21" s="103">
        <v>20.5</v>
      </c>
      <c r="L21" s="128"/>
      <c r="M21" s="128"/>
      <c r="N21" s="128"/>
      <c r="O21" s="128"/>
      <c r="P21" s="128"/>
      <c r="Q21" s="128"/>
      <c r="R21" s="128"/>
      <c r="S21" s="128"/>
      <c r="T21" s="128"/>
    </row>
    <row r="22" spans="1:20" x14ac:dyDescent="0.25">
      <c r="A22" s="100" t="s">
        <v>30</v>
      </c>
      <c r="B22" s="109">
        <v>17.599999999999998</v>
      </c>
      <c r="C22" s="107">
        <v>25.8</v>
      </c>
      <c r="D22" s="107">
        <v>6.9</v>
      </c>
      <c r="E22" s="107">
        <v>45.800000000000004</v>
      </c>
      <c r="F22" s="107">
        <v>9</v>
      </c>
      <c r="G22" s="107">
        <v>3.1</v>
      </c>
      <c r="H22" s="107">
        <v>3.1</v>
      </c>
      <c r="I22" s="107">
        <v>14.299999999999999</v>
      </c>
      <c r="J22" s="104">
        <v>25.8</v>
      </c>
      <c r="L22" s="128"/>
      <c r="M22" s="128"/>
      <c r="N22" s="128"/>
      <c r="O22" s="128"/>
      <c r="P22" s="128"/>
      <c r="Q22" s="128"/>
      <c r="R22" s="128"/>
      <c r="S22" s="128"/>
      <c r="T22" s="128"/>
    </row>
    <row r="23" spans="1:20" x14ac:dyDescent="0.25">
      <c r="A23" s="101" t="s">
        <v>116</v>
      </c>
    </row>
    <row r="24" spans="1:20" x14ac:dyDescent="0.25">
      <c r="A24" s="101" t="s">
        <v>7</v>
      </c>
    </row>
  </sheetData>
  <hyperlinks>
    <hyperlink ref="D1" location="'Lisez-moi'!A1" display="Retour au sommair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14"/>
  <sheetViews>
    <sheetView zoomScaleNormal="100" workbookViewId="0">
      <selection activeCell="H17" sqref="H17"/>
    </sheetView>
  </sheetViews>
  <sheetFormatPr baseColWidth="10" defaultRowHeight="15" x14ac:dyDescent="0.25"/>
  <cols>
    <col min="1" max="1" width="89.7109375" style="71" customWidth="1"/>
    <col min="2" max="9" width="11.42578125" style="71"/>
    <col min="10" max="17" width="9.85546875" style="71" customWidth="1"/>
    <col min="18" max="16384" width="11.42578125" style="71"/>
  </cols>
  <sheetData>
    <row r="1" spans="1:5" x14ac:dyDescent="0.25">
      <c r="A1" s="4" t="s">
        <v>122</v>
      </c>
      <c r="C1" s="76" t="s">
        <v>111</v>
      </c>
    </row>
    <row r="3" spans="1:5" x14ac:dyDescent="0.25">
      <c r="A3" s="71" t="s">
        <v>123</v>
      </c>
    </row>
    <row r="4" spans="1:5" x14ac:dyDescent="0.25">
      <c r="A4" s="5" t="s">
        <v>36</v>
      </c>
      <c r="B4" s="9">
        <v>34.1</v>
      </c>
      <c r="E4" s="69"/>
    </row>
    <row r="5" spans="1:5" x14ac:dyDescent="0.25">
      <c r="A5" s="6" t="s">
        <v>37</v>
      </c>
      <c r="B5" s="10">
        <v>30.2</v>
      </c>
    </row>
    <row r="6" spans="1:5" x14ac:dyDescent="0.25">
      <c r="A6" s="6" t="s">
        <v>40</v>
      </c>
      <c r="B6" s="10">
        <v>31.6</v>
      </c>
    </row>
    <row r="7" spans="1:5" x14ac:dyDescent="0.25">
      <c r="A7" s="6" t="s">
        <v>38</v>
      </c>
      <c r="B7" s="10">
        <v>14.000000000000002</v>
      </c>
    </row>
    <row r="8" spans="1:5" x14ac:dyDescent="0.25">
      <c r="A8" s="6" t="s">
        <v>39</v>
      </c>
      <c r="B8" s="10">
        <v>7.5</v>
      </c>
    </row>
    <row r="9" spans="1:5" x14ac:dyDescent="0.25">
      <c r="A9" s="6" t="s">
        <v>41</v>
      </c>
      <c r="B9" s="10">
        <v>15.8</v>
      </c>
    </row>
    <row r="10" spans="1:5" x14ac:dyDescent="0.25">
      <c r="A10" s="6" t="s">
        <v>42</v>
      </c>
      <c r="B10" s="10">
        <v>21</v>
      </c>
    </row>
    <row r="11" spans="1:5" x14ac:dyDescent="0.25">
      <c r="A11" s="7" t="s">
        <v>43</v>
      </c>
      <c r="B11" s="11">
        <v>7.0000000000000009</v>
      </c>
    </row>
    <row r="12" spans="1:5" x14ac:dyDescent="0.25">
      <c r="A12" s="8" t="s">
        <v>121</v>
      </c>
    </row>
    <row r="13" spans="1:5" x14ac:dyDescent="0.25">
      <c r="A13" s="8" t="s">
        <v>116</v>
      </c>
    </row>
    <row r="14" spans="1:5" x14ac:dyDescent="0.25">
      <c r="A14" s="8" t="s">
        <v>7</v>
      </c>
    </row>
  </sheetData>
  <hyperlinks>
    <hyperlink ref="C1" location="'Lisez-moi'!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O15"/>
  <sheetViews>
    <sheetView zoomScaleNormal="100" workbookViewId="0">
      <selection activeCell="J27" sqref="J27"/>
    </sheetView>
  </sheetViews>
  <sheetFormatPr baseColWidth="10" defaultRowHeight="15" x14ac:dyDescent="0.25"/>
  <cols>
    <col min="1" max="1" width="89.7109375" style="71" customWidth="1"/>
    <col min="2" max="9" width="11.42578125" style="71"/>
    <col min="10" max="17" width="9.85546875" style="71" customWidth="1"/>
    <col min="18" max="16384" width="11.42578125" style="71"/>
  </cols>
  <sheetData>
    <row r="1" spans="1:15" x14ac:dyDescent="0.25">
      <c r="A1" s="4" t="s">
        <v>122</v>
      </c>
      <c r="C1" s="76" t="s">
        <v>111</v>
      </c>
    </row>
    <row r="3" spans="1:15" x14ac:dyDescent="0.25">
      <c r="A3" s="71" t="s">
        <v>124</v>
      </c>
    </row>
    <row r="4" spans="1:15" x14ac:dyDescent="0.25">
      <c r="B4" s="33" t="s">
        <v>0</v>
      </c>
      <c r="C4" s="34" t="s">
        <v>8</v>
      </c>
      <c r="D4" s="31" t="s">
        <v>9</v>
      </c>
      <c r="E4" s="31" t="s">
        <v>10</v>
      </c>
      <c r="F4" s="31" t="s">
        <v>11</v>
      </c>
      <c r="G4" s="31" t="s">
        <v>12</v>
      </c>
      <c r="H4" s="32" t="s">
        <v>13</v>
      </c>
    </row>
    <row r="5" spans="1:15" x14ac:dyDescent="0.25">
      <c r="A5" s="5" t="s">
        <v>36</v>
      </c>
      <c r="B5" s="27">
        <v>34.1</v>
      </c>
      <c r="C5" s="22">
        <v>26.3</v>
      </c>
      <c r="D5" s="18">
        <v>27.800000000000004</v>
      </c>
      <c r="E5" s="18">
        <v>32.5</v>
      </c>
      <c r="F5" s="18">
        <v>29.599999999999998</v>
      </c>
      <c r="G5" s="18">
        <v>32.6</v>
      </c>
      <c r="H5" s="13">
        <v>41.099999999999994</v>
      </c>
      <c r="I5" s="69"/>
      <c r="J5" s="69"/>
      <c r="K5" s="69"/>
      <c r="L5" s="69"/>
      <c r="M5" s="69"/>
      <c r="N5" s="69"/>
      <c r="O5" s="69"/>
    </row>
    <row r="6" spans="1:15" x14ac:dyDescent="0.25">
      <c r="A6" s="6" t="s">
        <v>37</v>
      </c>
      <c r="B6" s="28">
        <v>30.2</v>
      </c>
      <c r="C6" s="22">
        <v>29.4</v>
      </c>
      <c r="D6" s="18">
        <v>28.4</v>
      </c>
      <c r="E6" s="18">
        <v>27.400000000000002</v>
      </c>
      <c r="F6" s="18">
        <v>29.599999999999998</v>
      </c>
      <c r="G6" s="18">
        <v>28.299999999999997</v>
      </c>
      <c r="H6" s="13">
        <v>32.4</v>
      </c>
      <c r="I6" s="69"/>
      <c r="J6" s="69"/>
      <c r="K6" s="69"/>
      <c r="L6" s="69"/>
      <c r="M6" s="69"/>
      <c r="N6" s="69"/>
      <c r="O6" s="69"/>
    </row>
    <row r="7" spans="1:15" x14ac:dyDescent="0.25">
      <c r="A7" s="6" t="s">
        <v>40</v>
      </c>
      <c r="B7" s="28">
        <v>31.6</v>
      </c>
      <c r="C7" s="22">
        <v>32.9</v>
      </c>
      <c r="D7" s="18">
        <v>32.200000000000003</v>
      </c>
      <c r="E7" s="18">
        <v>30.099999999999998</v>
      </c>
      <c r="F7" s="18">
        <v>30.8</v>
      </c>
      <c r="G7" s="18">
        <v>30.5</v>
      </c>
      <c r="H7" s="13">
        <v>31.8</v>
      </c>
      <c r="I7" s="69"/>
      <c r="J7" s="69"/>
      <c r="K7" s="69"/>
      <c r="L7" s="69"/>
      <c r="M7" s="69"/>
      <c r="N7" s="69"/>
      <c r="O7" s="69"/>
    </row>
    <row r="8" spans="1:15" x14ac:dyDescent="0.25">
      <c r="A8" s="6" t="s">
        <v>38</v>
      </c>
      <c r="B8" s="28">
        <v>14.000000000000002</v>
      </c>
      <c r="C8" s="22">
        <v>17.5</v>
      </c>
      <c r="D8" s="18">
        <v>15.299999999999999</v>
      </c>
      <c r="E8" s="18">
        <v>13.900000000000002</v>
      </c>
      <c r="F8" s="18">
        <v>14.000000000000002</v>
      </c>
      <c r="G8" s="18">
        <v>13.5</v>
      </c>
      <c r="H8" s="13">
        <v>12.7</v>
      </c>
      <c r="I8" s="69"/>
      <c r="J8" s="69"/>
      <c r="K8" s="69"/>
      <c r="L8" s="69"/>
      <c r="M8" s="69"/>
      <c r="N8" s="69"/>
      <c r="O8" s="69"/>
    </row>
    <row r="9" spans="1:15" x14ac:dyDescent="0.25">
      <c r="A9" s="6" t="s">
        <v>39</v>
      </c>
      <c r="B9" s="28">
        <v>7.5</v>
      </c>
      <c r="C9" s="22">
        <v>10.7</v>
      </c>
      <c r="D9" s="18">
        <v>8</v>
      </c>
      <c r="E9" s="18">
        <v>7.8</v>
      </c>
      <c r="F9" s="18">
        <v>8.1</v>
      </c>
      <c r="G9" s="18">
        <v>7.8</v>
      </c>
      <c r="H9" s="13">
        <v>6.1</v>
      </c>
      <c r="I9" s="69"/>
      <c r="J9" s="69"/>
      <c r="K9" s="69"/>
      <c r="L9" s="69"/>
      <c r="M9" s="69"/>
      <c r="N9" s="69"/>
      <c r="O9" s="69"/>
    </row>
    <row r="10" spans="1:15" x14ac:dyDescent="0.25">
      <c r="A10" s="6" t="s">
        <v>41</v>
      </c>
      <c r="B10" s="28">
        <v>15.8</v>
      </c>
      <c r="C10" s="22">
        <v>10.9</v>
      </c>
      <c r="D10" s="18">
        <v>13.700000000000001</v>
      </c>
      <c r="E10" s="18">
        <v>14.2</v>
      </c>
      <c r="F10" s="18">
        <v>15.7</v>
      </c>
      <c r="G10" s="18">
        <v>16.100000000000001</v>
      </c>
      <c r="H10" s="13">
        <v>18.5</v>
      </c>
      <c r="I10" s="69"/>
      <c r="J10" s="69"/>
      <c r="K10" s="69"/>
      <c r="L10" s="69"/>
      <c r="M10" s="69"/>
      <c r="N10" s="69"/>
      <c r="O10" s="69"/>
    </row>
    <row r="11" spans="1:15" x14ac:dyDescent="0.25">
      <c r="A11" s="6" t="s">
        <v>42</v>
      </c>
      <c r="B11" s="28">
        <v>21</v>
      </c>
      <c r="C11" s="22">
        <v>21</v>
      </c>
      <c r="D11" s="18">
        <v>22.5</v>
      </c>
      <c r="E11" s="18">
        <v>21.7</v>
      </c>
      <c r="F11" s="18">
        <v>23.400000000000002</v>
      </c>
      <c r="G11" s="18">
        <v>22.900000000000002</v>
      </c>
      <c r="H11" s="13">
        <v>18.899999999999999</v>
      </c>
      <c r="I11" s="69"/>
      <c r="J11" s="69"/>
      <c r="K11" s="69"/>
      <c r="L11" s="69"/>
      <c r="M11" s="69"/>
      <c r="N11" s="69"/>
      <c r="O11" s="69"/>
    </row>
    <row r="12" spans="1:15" x14ac:dyDescent="0.25">
      <c r="A12" s="7" t="s">
        <v>43</v>
      </c>
      <c r="B12" s="29">
        <v>7.0000000000000009</v>
      </c>
      <c r="C12" s="23">
        <v>6.8000000000000007</v>
      </c>
      <c r="D12" s="20">
        <v>7.9</v>
      </c>
      <c r="E12" s="20">
        <v>7.1</v>
      </c>
      <c r="F12" s="20">
        <v>7.5</v>
      </c>
      <c r="G12" s="20">
        <v>8</v>
      </c>
      <c r="H12" s="14">
        <v>6.3</v>
      </c>
      <c r="I12" s="69"/>
      <c r="J12" s="69"/>
      <c r="K12" s="69"/>
      <c r="L12" s="69"/>
      <c r="M12" s="69"/>
      <c r="N12" s="69"/>
      <c r="O12" s="69"/>
    </row>
    <row r="13" spans="1:15" x14ac:dyDescent="0.25">
      <c r="A13" s="8" t="s">
        <v>116</v>
      </c>
    </row>
    <row r="14" spans="1:15" x14ac:dyDescent="0.25">
      <c r="A14" s="8" t="s">
        <v>7</v>
      </c>
    </row>
    <row r="15" spans="1:15" x14ac:dyDescent="0.25">
      <c r="A15" s="63"/>
    </row>
  </sheetData>
  <hyperlinks>
    <hyperlink ref="C1" location="'Lisez-moi'!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R24"/>
  <sheetViews>
    <sheetView zoomScaleNormal="100" workbookViewId="0">
      <selection activeCell="L22" sqref="L22"/>
    </sheetView>
  </sheetViews>
  <sheetFormatPr baseColWidth="10" defaultRowHeight="15" x14ac:dyDescent="0.25"/>
  <cols>
    <col min="1" max="1" width="89.7109375" customWidth="1"/>
  </cols>
  <sheetData>
    <row r="1" spans="1:18" x14ac:dyDescent="0.25">
      <c r="A1" s="4" t="s">
        <v>122</v>
      </c>
      <c r="C1" s="76" t="s">
        <v>111</v>
      </c>
    </row>
    <row r="2" spans="1:18" s="71" customFormat="1" x14ac:dyDescent="0.25">
      <c r="A2" s="4"/>
    </row>
    <row r="3" spans="1:18" x14ac:dyDescent="0.25">
      <c r="A3" s="3" t="s">
        <v>125</v>
      </c>
    </row>
    <row r="4" spans="1:18" ht="126" x14ac:dyDescent="0.25">
      <c r="B4" s="51" t="s">
        <v>45</v>
      </c>
      <c r="C4" s="48" t="s">
        <v>37</v>
      </c>
      <c r="D4" s="48" t="s">
        <v>40</v>
      </c>
      <c r="E4" s="47" t="s">
        <v>46</v>
      </c>
      <c r="F4" s="48" t="s">
        <v>39</v>
      </c>
      <c r="G4" s="48" t="s">
        <v>41</v>
      </c>
      <c r="H4" s="48" t="s">
        <v>42</v>
      </c>
      <c r="I4" s="49" t="s">
        <v>47</v>
      </c>
      <c r="J4" s="77"/>
    </row>
    <row r="5" spans="1:18" x14ac:dyDescent="0.25">
      <c r="A5" s="42" t="s">
        <v>0</v>
      </c>
      <c r="B5" s="56">
        <v>34.1</v>
      </c>
      <c r="C5" s="54">
        <v>30.2</v>
      </c>
      <c r="D5" s="54">
        <v>31.6</v>
      </c>
      <c r="E5" s="54">
        <v>14.000000000000002</v>
      </c>
      <c r="F5" s="54">
        <v>7.5</v>
      </c>
      <c r="G5" s="54">
        <v>15.8</v>
      </c>
      <c r="H5" s="54">
        <v>21</v>
      </c>
      <c r="I5" s="55">
        <v>7.0000000000000009</v>
      </c>
      <c r="J5" s="69"/>
      <c r="K5" s="69"/>
      <c r="L5" s="69"/>
      <c r="M5" s="69"/>
      <c r="N5" s="69"/>
      <c r="O5" s="69"/>
      <c r="P5" s="69"/>
      <c r="Q5" s="69"/>
      <c r="R5" s="69"/>
    </row>
    <row r="6" spans="1:18" x14ac:dyDescent="0.25">
      <c r="A6" s="6" t="s">
        <v>51</v>
      </c>
      <c r="B6" s="22">
        <v>29.599999999999998</v>
      </c>
      <c r="C6" s="18">
        <v>40.1</v>
      </c>
      <c r="D6" s="18">
        <v>25.8</v>
      </c>
      <c r="E6" s="18">
        <v>7.5</v>
      </c>
      <c r="F6" s="18">
        <v>9</v>
      </c>
      <c r="G6" s="18">
        <v>4.5</v>
      </c>
      <c r="H6" s="18">
        <v>18.5</v>
      </c>
      <c r="I6" s="13">
        <v>18.7</v>
      </c>
      <c r="J6" s="69"/>
      <c r="K6" s="69"/>
      <c r="L6" s="69"/>
      <c r="M6" s="69"/>
      <c r="N6" s="69"/>
      <c r="O6" s="69"/>
      <c r="P6" s="69"/>
      <c r="Q6" s="69"/>
      <c r="R6" s="69"/>
    </row>
    <row r="7" spans="1:18" x14ac:dyDescent="0.25">
      <c r="A7" s="6" t="s">
        <v>16</v>
      </c>
      <c r="B7" s="22">
        <v>31.900000000000002</v>
      </c>
      <c r="C7" s="18">
        <v>16.5</v>
      </c>
      <c r="D7" s="18">
        <v>38.700000000000003</v>
      </c>
      <c r="E7" s="18">
        <v>10.299999999999999</v>
      </c>
      <c r="F7" s="18">
        <v>4.8</v>
      </c>
      <c r="G7" s="18">
        <v>16.2</v>
      </c>
      <c r="H7" s="18">
        <v>20.9</v>
      </c>
      <c r="I7" s="13">
        <v>5.3</v>
      </c>
      <c r="J7" s="69"/>
      <c r="K7" s="69"/>
      <c r="L7" s="69"/>
      <c r="M7" s="69"/>
      <c r="N7" s="69"/>
      <c r="O7" s="69"/>
      <c r="P7" s="69"/>
      <c r="Q7" s="69"/>
      <c r="R7" s="69"/>
    </row>
    <row r="8" spans="1:18" x14ac:dyDescent="0.25">
      <c r="A8" s="6" t="s">
        <v>17</v>
      </c>
      <c r="B8" s="22">
        <v>4.3</v>
      </c>
      <c r="C8" s="18" t="s">
        <v>92</v>
      </c>
      <c r="D8" s="18" t="s">
        <v>92</v>
      </c>
      <c r="E8" s="18" t="s">
        <v>92</v>
      </c>
      <c r="F8" s="18">
        <v>0</v>
      </c>
      <c r="G8" s="18">
        <v>0</v>
      </c>
      <c r="H8" s="18" t="s">
        <v>92</v>
      </c>
      <c r="I8" s="13">
        <v>0</v>
      </c>
      <c r="J8" s="69"/>
      <c r="K8" s="69"/>
      <c r="L8" s="69"/>
      <c r="M8" s="69"/>
      <c r="N8" s="69"/>
      <c r="O8" s="69"/>
      <c r="P8" s="69"/>
      <c r="Q8" s="69"/>
      <c r="R8" s="69"/>
    </row>
    <row r="9" spans="1:18" x14ac:dyDescent="0.25">
      <c r="A9" s="6" t="s">
        <v>18</v>
      </c>
      <c r="B9" s="22">
        <v>29.599999999999998</v>
      </c>
      <c r="C9" s="18">
        <v>31.3</v>
      </c>
      <c r="D9" s="18">
        <v>43.1</v>
      </c>
      <c r="E9" s="18">
        <v>32.5</v>
      </c>
      <c r="F9" s="18">
        <v>1.6</v>
      </c>
      <c r="G9" s="18">
        <v>7.5</v>
      </c>
      <c r="H9" s="18">
        <v>16.600000000000001</v>
      </c>
      <c r="I9" s="13">
        <v>10.199999999999999</v>
      </c>
      <c r="J9" s="69"/>
      <c r="K9" s="69"/>
      <c r="L9" s="69"/>
      <c r="M9" s="69"/>
      <c r="N9" s="69"/>
      <c r="O9" s="69"/>
      <c r="P9" s="69"/>
      <c r="Q9" s="69"/>
      <c r="R9" s="69"/>
    </row>
    <row r="10" spans="1:18" x14ac:dyDescent="0.25">
      <c r="A10" s="6" t="s">
        <v>19</v>
      </c>
      <c r="B10" s="22">
        <v>35.9</v>
      </c>
      <c r="C10" s="18">
        <v>37.4</v>
      </c>
      <c r="D10" s="18">
        <v>58.8</v>
      </c>
      <c r="E10" s="18">
        <v>42.699999999999996</v>
      </c>
      <c r="F10" s="18" t="s">
        <v>92</v>
      </c>
      <c r="G10" s="18">
        <v>14.000000000000002</v>
      </c>
      <c r="H10" s="18">
        <v>7.3999999999999995</v>
      </c>
      <c r="I10" s="13" t="s">
        <v>92</v>
      </c>
      <c r="J10" s="69"/>
      <c r="K10" s="69"/>
      <c r="L10" s="69"/>
      <c r="M10" s="69"/>
      <c r="N10" s="69"/>
      <c r="O10" s="69"/>
      <c r="P10" s="69"/>
      <c r="Q10" s="69"/>
      <c r="R10" s="69"/>
    </row>
    <row r="11" spans="1:18" x14ac:dyDescent="0.25">
      <c r="A11" s="6" t="s">
        <v>20</v>
      </c>
      <c r="B11" s="22">
        <v>23.599999999999998</v>
      </c>
      <c r="C11" s="18">
        <v>28.799999999999997</v>
      </c>
      <c r="D11" s="18">
        <v>48.5</v>
      </c>
      <c r="E11" s="18">
        <v>19.600000000000001</v>
      </c>
      <c r="F11" s="18">
        <v>2.8000000000000003</v>
      </c>
      <c r="G11" s="18">
        <v>14.499999999999998</v>
      </c>
      <c r="H11" s="18">
        <v>14.899999999999999</v>
      </c>
      <c r="I11" s="13">
        <v>8.6999999999999993</v>
      </c>
      <c r="J11" s="69"/>
      <c r="K11" s="69"/>
      <c r="L11" s="69"/>
      <c r="M11" s="69"/>
      <c r="N11" s="69"/>
      <c r="O11" s="69"/>
      <c r="P11" s="69"/>
      <c r="Q11" s="69"/>
      <c r="R11" s="69"/>
    </row>
    <row r="12" spans="1:18" x14ac:dyDescent="0.25">
      <c r="A12" s="6" t="s">
        <v>21</v>
      </c>
      <c r="B12" s="22">
        <v>27.1</v>
      </c>
      <c r="C12" s="18">
        <v>25.8</v>
      </c>
      <c r="D12" s="18">
        <v>24</v>
      </c>
      <c r="E12" s="18">
        <v>23.200000000000003</v>
      </c>
      <c r="F12" s="18">
        <v>5.7</v>
      </c>
      <c r="G12" s="18">
        <v>14.899999999999999</v>
      </c>
      <c r="H12" s="18">
        <v>22</v>
      </c>
      <c r="I12" s="13">
        <v>8.2000000000000011</v>
      </c>
      <c r="J12" s="69"/>
      <c r="K12" s="69"/>
      <c r="L12" s="69"/>
      <c r="M12" s="69"/>
      <c r="N12" s="69"/>
      <c r="O12" s="69"/>
      <c r="P12" s="69"/>
      <c r="Q12" s="69"/>
      <c r="R12" s="69"/>
    </row>
    <row r="13" spans="1:18" x14ac:dyDescent="0.25">
      <c r="A13" s="6" t="s">
        <v>22</v>
      </c>
      <c r="B13" s="22">
        <v>31.5</v>
      </c>
      <c r="C13" s="18">
        <v>30.7</v>
      </c>
      <c r="D13" s="18">
        <v>23.400000000000002</v>
      </c>
      <c r="E13" s="18">
        <v>23</v>
      </c>
      <c r="F13" s="18">
        <v>4.5</v>
      </c>
      <c r="G13" s="18">
        <v>23.599999999999998</v>
      </c>
      <c r="H13" s="18">
        <v>20.8</v>
      </c>
      <c r="I13" s="13">
        <v>11.600000000000001</v>
      </c>
      <c r="J13" s="69"/>
      <c r="K13" s="69"/>
      <c r="L13" s="69"/>
      <c r="M13" s="69"/>
      <c r="N13" s="69"/>
      <c r="O13" s="69"/>
      <c r="P13" s="69"/>
      <c r="Q13" s="69"/>
      <c r="R13" s="69"/>
    </row>
    <row r="14" spans="1:18" x14ac:dyDescent="0.25">
      <c r="A14" s="6" t="s">
        <v>23</v>
      </c>
      <c r="B14" s="22">
        <v>40.400000000000006</v>
      </c>
      <c r="C14" s="18">
        <v>35.5</v>
      </c>
      <c r="D14" s="18">
        <v>38.5</v>
      </c>
      <c r="E14" s="18">
        <v>13.700000000000001</v>
      </c>
      <c r="F14" s="18">
        <v>4.8</v>
      </c>
      <c r="G14" s="18">
        <v>12</v>
      </c>
      <c r="H14" s="18">
        <v>14.099999999999998</v>
      </c>
      <c r="I14" s="13">
        <v>5.5</v>
      </c>
      <c r="J14" s="69"/>
      <c r="K14" s="69"/>
      <c r="L14" s="69"/>
      <c r="M14" s="69"/>
      <c r="N14" s="69"/>
      <c r="O14" s="69"/>
      <c r="P14" s="69"/>
      <c r="Q14" s="69"/>
      <c r="R14" s="69"/>
    </row>
    <row r="15" spans="1:18" x14ac:dyDescent="0.25">
      <c r="A15" s="6" t="s">
        <v>24</v>
      </c>
      <c r="B15" s="22">
        <v>32.5</v>
      </c>
      <c r="C15" s="18">
        <v>48.4</v>
      </c>
      <c r="D15" s="18">
        <v>34</v>
      </c>
      <c r="E15" s="18">
        <v>6.4</v>
      </c>
      <c r="F15" s="18">
        <v>29.4</v>
      </c>
      <c r="G15" s="18">
        <v>5</v>
      </c>
      <c r="H15" s="18">
        <v>15.4</v>
      </c>
      <c r="I15" s="13">
        <v>3.5999999999999996</v>
      </c>
      <c r="J15" s="69"/>
      <c r="K15" s="69"/>
      <c r="L15" s="69"/>
      <c r="M15" s="69"/>
      <c r="N15" s="69"/>
      <c r="O15" s="69"/>
      <c r="P15" s="69"/>
      <c r="Q15" s="69"/>
      <c r="R15" s="69"/>
    </row>
    <row r="16" spans="1:18" x14ac:dyDescent="0.25">
      <c r="A16" s="6" t="s">
        <v>25</v>
      </c>
      <c r="B16" s="22">
        <v>41.8</v>
      </c>
      <c r="C16" s="18">
        <v>40.699999999999996</v>
      </c>
      <c r="D16" s="18">
        <v>48.699999999999996</v>
      </c>
      <c r="E16" s="18">
        <v>4.1000000000000005</v>
      </c>
      <c r="F16" s="18">
        <v>3</v>
      </c>
      <c r="G16" s="18">
        <v>4.1000000000000005</v>
      </c>
      <c r="H16" s="18">
        <v>21</v>
      </c>
      <c r="I16" s="13">
        <v>4.8</v>
      </c>
      <c r="J16" s="69"/>
      <c r="K16" s="69"/>
      <c r="L16" s="69"/>
      <c r="M16" s="69"/>
      <c r="N16" s="69"/>
      <c r="O16" s="69"/>
      <c r="P16" s="69"/>
      <c r="Q16" s="69"/>
      <c r="R16" s="69"/>
    </row>
    <row r="17" spans="1:18" x14ac:dyDescent="0.25">
      <c r="A17" s="6" t="s">
        <v>26</v>
      </c>
      <c r="B17" s="22">
        <v>37.799999999999997</v>
      </c>
      <c r="C17" s="18">
        <v>9.5</v>
      </c>
      <c r="D17" s="18">
        <v>32.1</v>
      </c>
      <c r="E17" s="18">
        <v>2.8000000000000003</v>
      </c>
      <c r="F17" s="18">
        <v>4.5999999999999996</v>
      </c>
      <c r="G17" s="18">
        <v>9.9</v>
      </c>
      <c r="H17" s="18">
        <v>29.9</v>
      </c>
      <c r="I17" s="13">
        <v>4.5</v>
      </c>
      <c r="J17" s="69"/>
      <c r="K17" s="69"/>
      <c r="L17" s="69"/>
      <c r="M17" s="69"/>
      <c r="N17" s="69"/>
      <c r="O17" s="69"/>
      <c r="P17" s="69"/>
      <c r="Q17" s="69"/>
      <c r="R17" s="69"/>
    </row>
    <row r="18" spans="1:18" x14ac:dyDescent="0.25">
      <c r="A18" s="6" t="s">
        <v>27</v>
      </c>
      <c r="B18" s="22">
        <v>40.1</v>
      </c>
      <c r="C18" s="18">
        <v>14.299999999999999</v>
      </c>
      <c r="D18" s="18">
        <v>8.1</v>
      </c>
      <c r="E18" s="18">
        <v>4.7</v>
      </c>
      <c r="F18" s="18">
        <v>6.9</v>
      </c>
      <c r="G18" s="18">
        <v>9.4</v>
      </c>
      <c r="H18" s="18">
        <v>35.6</v>
      </c>
      <c r="I18" s="13">
        <v>8.7999999999999989</v>
      </c>
      <c r="J18" s="69"/>
      <c r="K18" s="69"/>
      <c r="L18" s="69"/>
      <c r="M18" s="69"/>
      <c r="N18" s="69"/>
      <c r="O18" s="69"/>
      <c r="P18" s="69"/>
      <c r="Q18" s="69"/>
      <c r="R18" s="69"/>
    </row>
    <row r="19" spans="1:18" x14ac:dyDescent="0.25">
      <c r="A19" s="6" t="s">
        <v>28</v>
      </c>
      <c r="B19" s="22">
        <v>27.200000000000003</v>
      </c>
      <c r="C19" s="18">
        <v>35.299999999999997</v>
      </c>
      <c r="D19" s="18">
        <v>37.1</v>
      </c>
      <c r="E19" s="18">
        <v>8.2000000000000011</v>
      </c>
      <c r="F19" s="18">
        <v>12.1</v>
      </c>
      <c r="G19" s="18">
        <v>10.8</v>
      </c>
      <c r="H19" s="18">
        <v>26.1</v>
      </c>
      <c r="I19" s="13">
        <v>5.5</v>
      </c>
      <c r="J19" s="69"/>
      <c r="K19" s="69"/>
      <c r="L19" s="69"/>
      <c r="M19" s="69"/>
      <c r="N19" s="69"/>
      <c r="O19" s="69"/>
      <c r="P19" s="69"/>
      <c r="Q19" s="69"/>
      <c r="R19" s="69"/>
    </row>
    <row r="20" spans="1:18" x14ac:dyDescent="0.25">
      <c r="A20" s="6" t="s">
        <v>29</v>
      </c>
      <c r="B20" s="22">
        <v>46.300000000000004</v>
      </c>
      <c r="C20" s="18">
        <v>23.400000000000002</v>
      </c>
      <c r="D20" s="18">
        <v>15.299999999999999</v>
      </c>
      <c r="E20" s="18">
        <v>9.9</v>
      </c>
      <c r="F20" s="18">
        <v>6.2</v>
      </c>
      <c r="G20" s="18">
        <v>28.999999999999996</v>
      </c>
      <c r="H20" s="18">
        <v>22.3</v>
      </c>
      <c r="I20" s="13">
        <v>4.5999999999999996</v>
      </c>
      <c r="J20" s="69"/>
      <c r="K20" s="69"/>
      <c r="L20" s="69"/>
      <c r="M20" s="69"/>
      <c r="N20" s="69"/>
      <c r="O20" s="69"/>
      <c r="P20" s="69"/>
      <c r="Q20" s="69"/>
      <c r="R20" s="69"/>
    </row>
    <row r="21" spans="1:18" x14ac:dyDescent="0.25">
      <c r="A21" s="7" t="s">
        <v>30</v>
      </c>
      <c r="B21" s="23">
        <v>34.4</v>
      </c>
      <c r="C21" s="20">
        <v>33</v>
      </c>
      <c r="D21" s="20">
        <v>23.9</v>
      </c>
      <c r="E21" s="20">
        <v>5.0999999999999996</v>
      </c>
      <c r="F21" s="20">
        <v>22.900000000000002</v>
      </c>
      <c r="G21" s="20">
        <v>13.200000000000001</v>
      </c>
      <c r="H21" s="20">
        <v>25</v>
      </c>
      <c r="I21" s="14">
        <v>6.9</v>
      </c>
      <c r="J21" s="69"/>
      <c r="K21" s="69"/>
      <c r="L21" s="69"/>
      <c r="M21" s="69"/>
      <c r="N21" s="69"/>
      <c r="O21" s="69"/>
      <c r="P21" s="69"/>
      <c r="Q21" s="69"/>
      <c r="R21" s="69"/>
    </row>
    <row r="22" spans="1:18" x14ac:dyDescent="0.25">
      <c r="A22" s="8" t="s">
        <v>116</v>
      </c>
    </row>
    <row r="23" spans="1:18" x14ac:dyDescent="0.25">
      <c r="A23" s="8" t="s">
        <v>7</v>
      </c>
    </row>
    <row r="24" spans="1:18" s="70" customFormat="1" x14ac:dyDescent="0.25">
      <c r="A24" s="63"/>
    </row>
  </sheetData>
  <sortState ref="A19:H26">
    <sortCondition descending="1" ref="B19:B26"/>
  </sortState>
  <hyperlinks>
    <hyperlink ref="C1" location="'Lisez-moi'!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G9"/>
  <sheetViews>
    <sheetView workbookViewId="0"/>
  </sheetViews>
  <sheetFormatPr baseColWidth="10" defaultRowHeight="15" x14ac:dyDescent="0.25"/>
  <cols>
    <col min="1" max="1" width="89.5703125" style="71" customWidth="1"/>
    <col min="2" max="16384" width="11.42578125" style="71"/>
  </cols>
  <sheetData>
    <row r="1" spans="1:7" x14ac:dyDescent="0.25">
      <c r="A1" s="4" t="s">
        <v>127</v>
      </c>
      <c r="G1" s="76" t="s">
        <v>111</v>
      </c>
    </row>
    <row r="3" spans="1:7" x14ac:dyDescent="0.25">
      <c r="A3" s="71" t="s">
        <v>129</v>
      </c>
    </row>
    <row r="4" spans="1:7" x14ac:dyDescent="0.25">
      <c r="A4" s="5" t="s">
        <v>48</v>
      </c>
      <c r="B4" s="12">
        <f>HLOOKUP("q5mod1",[1]data_rep!$1:$1048576,VLOOKUP("EnsEns",[1]data_rep!$A$1:$B$200,2,FALSE),FALSE)</f>
        <v>13.5</v>
      </c>
    </row>
    <row r="5" spans="1:7" x14ac:dyDescent="0.25">
      <c r="A5" s="6" t="s">
        <v>49</v>
      </c>
      <c r="B5" s="13">
        <f>HLOOKUP("q5mod2",[1]data_rep!$1:$1048576,VLOOKUP("EnsEns",[1]data_rep!$A$1:$B$200,2,FALSE),FALSE)</f>
        <v>78.900000000000006</v>
      </c>
    </row>
    <row r="6" spans="1:7" x14ac:dyDescent="0.25">
      <c r="A6" s="7" t="s">
        <v>50</v>
      </c>
      <c r="B6" s="14">
        <f>HLOOKUP("q5mod3",[1]data_rep!$1:$1048576,VLOOKUP("EnsEns",[1]data_rep!$A$1:$B$200,2,FALSE),FALSE)</f>
        <v>7.7</v>
      </c>
    </row>
    <row r="7" spans="1:7" x14ac:dyDescent="0.25">
      <c r="A7" s="8" t="s">
        <v>128</v>
      </c>
    </row>
    <row r="8" spans="1:7" x14ac:dyDescent="0.25">
      <c r="A8" s="8" t="s">
        <v>116</v>
      </c>
    </row>
    <row r="9" spans="1:7" x14ac:dyDescent="0.25">
      <c r="A9" s="8" t="s">
        <v>6</v>
      </c>
    </row>
  </sheetData>
  <hyperlinks>
    <hyperlink ref="G1" location="'Lisez-moi'!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53</vt:i4>
      </vt:variant>
    </vt:vector>
  </HeadingPairs>
  <TitlesOfParts>
    <vt:vector size="53" baseType="lpstr">
      <vt:lpstr>Lisez-moi</vt:lpstr>
      <vt:lpstr>Q2_Tab 1</vt:lpstr>
      <vt:lpstr>Q2_Tab 2</vt:lpstr>
      <vt:lpstr>Q2_Tab 3</vt:lpstr>
      <vt:lpstr>Q3_Tab 4</vt:lpstr>
      <vt:lpstr>Q4_Tab 5</vt:lpstr>
      <vt:lpstr>Q4_Tab 6</vt:lpstr>
      <vt:lpstr>Q4_Tab 7</vt:lpstr>
      <vt:lpstr>Q5_Tab 8</vt:lpstr>
      <vt:lpstr>Q5_Tab 9</vt:lpstr>
      <vt:lpstr>Q5_Tab 10</vt:lpstr>
      <vt:lpstr>Q6_Tab 11</vt:lpstr>
      <vt:lpstr>Q7_Tab 12</vt:lpstr>
      <vt:lpstr>Q7_Tab 13</vt:lpstr>
      <vt:lpstr>Q7_Tab 14</vt:lpstr>
      <vt:lpstr>Q8_Tab15</vt:lpstr>
      <vt:lpstr>Q8_Tab16</vt:lpstr>
      <vt:lpstr>Q8_Tab 17</vt:lpstr>
      <vt:lpstr>Q11_Tab 18</vt:lpstr>
      <vt:lpstr>Q11_Tab 19</vt:lpstr>
      <vt:lpstr>Q11_Tab 20</vt:lpstr>
      <vt:lpstr>Q12_Tab21</vt:lpstr>
      <vt:lpstr>Q12_Tab22</vt:lpstr>
      <vt:lpstr>Q12_Tab23</vt:lpstr>
      <vt:lpstr>Q15_Tab 24</vt:lpstr>
      <vt:lpstr>Q15_Tab 25-30</vt:lpstr>
      <vt:lpstr>Q15_Tab 31-36</vt:lpstr>
      <vt:lpstr>Q15_Tab 37</vt:lpstr>
      <vt:lpstr>Q15_Tab 38</vt:lpstr>
      <vt:lpstr>Q16_Tab 39</vt:lpstr>
      <vt:lpstr>Q16_Tab 40</vt:lpstr>
      <vt:lpstr>Q16_Tab 41</vt:lpstr>
      <vt:lpstr>Q17_Tab 42</vt:lpstr>
      <vt:lpstr>Q17_Tab 43</vt:lpstr>
      <vt:lpstr>Q17_Tab 44</vt:lpstr>
      <vt:lpstr>Q18_Tab 45</vt:lpstr>
      <vt:lpstr>Q18_Tab 46</vt:lpstr>
      <vt:lpstr>Q18_Tab 47</vt:lpstr>
      <vt:lpstr>Q19_Tab 48</vt:lpstr>
      <vt:lpstr>Q19_Tab 49</vt:lpstr>
      <vt:lpstr>Q19_Tab 50</vt:lpstr>
      <vt:lpstr>Q20_Tab 51</vt:lpstr>
      <vt:lpstr>Q20_Tab 52</vt:lpstr>
      <vt:lpstr>Q20_Tab 53</vt:lpstr>
      <vt:lpstr>Q21_Tab 54</vt:lpstr>
      <vt:lpstr>Q21_Tab 55</vt:lpstr>
      <vt:lpstr>Q21_Tab 56</vt:lpstr>
      <vt:lpstr>Q22_Tab 57</vt:lpstr>
      <vt:lpstr>Q22_Tab 58</vt:lpstr>
      <vt:lpstr>Q22_Tab 59</vt:lpstr>
      <vt:lpstr>Q23_Tab 60</vt:lpstr>
      <vt:lpstr>Q23_Tab 61</vt:lpstr>
      <vt:lpstr>Q23_Tab 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Acemo flash Covid-19 - résultats complets juin 2020</dc:title>
  <dc:creator/>
  <cp:keywords>enquête; covid; acemo; télétravail; congés; activité partielle; chômage partiel; reprise;</cp:keywords>
  <dc:description/>
  <cp:lastModifiedBy/>
  <dcterms:created xsi:type="dcterms:W3CDTF">2015-06-05T18:19:34Z</dcterms:created>
  <dcterms:modified xsi:type="dcterms:W3CDTF">2020-07-23T09:26:12Z</dcterms:modified>
</cp:coreProperties>
</file>